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2120" windowHeight="7725" activeTab="0"/>
  </bookViews>
  <sheets>
    <sheet name="Annuale" sheetId="1" r:id="rId1"/>
    <sheet name="Mensile" sheetId="2" r:id="rId2"/>
    <sheet name="Aliquote" sheetId="3" r:id="rId3"/>
  </sheets>
  <externalReferences>
    <externalReference r:id="rId6"/>
  </externalReferences>
  <definedNames>
    <definedName name="abi" localSheetId="1">'Mensile'!$AP$17:$AQ$35</definedName>
    <definedName name="abi">'Annuale'!$Z$17:$AA$35</definedName>
    <definedName name="Aliquote" localSheetId="1">'Mensile'!$AI$3:$AL$8</definedName>
    <definedName name="Aliquote">'Annuale'!$S$3:$V$8</definedName>
    <definedName name="Altre_detraz" localSheetId="1">'Mensile'!$AI$68:$AJ$72</definedName>
    <definedName name="Altre_detraz">'Annuale'!$S$68:$T$72</definedName>
    <definedName name="Altri" localSheetId="1">'Mensile'!$AJ$65</definedName>
    <definedName name="Altri">'Annuale'!$T$65</definedName>
    <definedName name="Altro" localSheetId="1">'Mensile'!$AJ$15</definedName>
    <definedName name="Altro">'Annuale'!$T$15</definedName>
    <definedName name="_xlnm.Print_Area" localSheetId="0">'Annuale'!$A$1:$P$57</definedName>
    <definedName name="_xlnm.Print_Area" localSheetId="1">'Mensile'!$A$1:$P$49</definedName>
    <definedName name="AssCon" localSheetId="1">'Mensile'!$AG$11:$AH$14</definedName>
    <definedName name="AssCon">'Annuale'!$Q$11:$R$14</definedName>
    <definedName name="Aum_altre" localSheetId="1">'Mensile'!$AI$74:$AJ$80</definedName>
    <definedName name="Aum_altre">'Annuale'!$S$74:$T$80</definedName>
    <definedName name="aum1" localSheetId="1">'Mensile'!$AL$50</definedName>
    <definedName name="aum1">'Annuale'!$V$50</definedName>
    <definedName name="aum2" localSheetId="1">'Mensile'!$AL$51</definedName>
    <definedName name="aum2">'Annuale'!$V$51</definedName>
    <definedName name="aum3" localSheetId="1">'Mensile'!$AL$52</definedName>
    <definedName name="aum3">'Annuale'!$V$52</definedName>
    <definedName name="aum4" localSheetId="1">'Mensile'!$AL$53</definedName>
    <definedName name="aum4">'Annuale'!$V$53</definedName>
    <definedName name="aum5" localSheetId="1">'Mensile'!$AL$54</definedName>
    <definedName name="aum5">'Annuale'!$V$54</definedName>
    <definedName name="aum6" localSheetId="1">'Mensile'!$AL$55</definedName>
    <definedName name="aum6">'Annuale'!$V$55</definedName>
    <definedName name="aum7" localSheetId="1">'Mensile'!$AL$56</definedName>
    <definedName name="aum7">'Annuale'!$V$56</definedName>
    <definedName name="CNG" localSheetId="1">'Mensile'!$T$20</definedName>
    <definedName name="CNG">'Annuale'!$D$20</definedName>
    <definedName name="Cng_nn" localSheetId="1">'Mensile'!$AH$37</definedName>
    <definedName name="Cng_nn">'Annuale'!$R$37</definedName>
    <definedName name="ConDetr" localSheetId="1">'Mensile'!$AJ$45:$AL$48</definedName>
    <definedName name="ConDetr">'Annuale'!$T$45:$V$48</definedName>
    <definedName name="Coniuge" localSheetId="1">'Mensile'!$AJ$13</definedName>
    <definedName name="Coniuge">'Annuale'!$T$13</definedName>
    <definedName name="Contributi" localSheetId="1">'Mensile'!$AB$13</definedName>
    <definedName name="Contributi">'Annuale'!$L$13</definedName>
    <definedName name="D_Coniuge" localSheetId="1">'Mensile'!$AJ$17:$AM$42</definedName>
    <definedName name="D_Coniuge">'Annuale'!$T$17:$W$42</definedName>
    <definedName name="De_Con" localSheetId="1">'Mensile'!$AJ$18:$AM$42</definedName>
    <definedName name="De_Con">'Annuale'!$T$18:$W$42</definedName>
    <definedName name="De_fi_co" localSheetId="1">'Mensile'!$AH$9</definedName>
    <definedName name="De_fi_co">'Annuale'!$R$9</definedName>
    <definedName name="dealtr" localSheetId="1">'Mensile'!#REF!</definedName>
    <definedName name="dealtr">'Annuale'!#REF!</definedName>
    <definedName name="DetrAltre" localSheetId="1">'Mensile'!$AL$15</definedName>
    <definedName name="DetrAltre">'Annuale'!$V$15</definedName>
    <definedName name="DetrConiuge" localSheetId="1">'Mensile'!$AL$13</definedName>
    <definedName name="DetrConiuge">'Annuale'!$V$13</definedName>
    <definedName name="DetrFigli" localSheetId="1">'Mensile'!$AL$14</definedName>
    <definedName name="DetrFigli">'Annuale'!$V$14</definedName>
    <definedName name="DetrRid" localSheetId="1">'Mensile'!$AM$13</definedName>
    <definedName name="DetrRid">'Annuale'!$W$13</definedName>
    <definedName name="dsaltri" localSheetId="1">'Mensile'!$AL$65</definedName>
    <definedName name="dsaltri">'Annuale'!$V$65</definedName>
    <definedName name="dsco" localSheetId="1">'Mensile'!$AL$45</definedName>
    <definedName name="dsco">'Annuale'!$V$45</definedName>
    <definedName name="dsco15" localSheetId="1">'Mensile'!$AL$46</definedName>
    <definedName name="dsco15">'Annuale'!$V$46</definedName>
    <definedName name="dsco40" localSheetId="1">'Mensile'!$AL$47</definedName>
    <definedName name="dsco40">'Annuale'!$V$47</definedName>
    <definedName name="dsco80" localSheetId="1">'Mensile'!$AL$48</definedName>
    <definedName name="dsco80">'Annuale'!$V$48</definedName>
    <definedName name="dsfg3" localSheetId="1">'Mensile'!$AL$62</definedName>
    <definedName name="dsfg3">'Annuale'!$V$62</definedName>
    <definedName name="dsfhc" localSheetId="1">'Mensile'!$AL$63</definedName>
    <definedName name="dsfhc">'Annuale'!$V$63</definedName>
    <definedName name="dsfig" localSheetId="1">'Mensile'!$AL$61</definedName>
    <definedName name="dsfig">'Annuale'!$V$61</definedName>
    <definedName name="Fac" localSheetId="1">'Mensile'!#REF!</definedName>
    <definedName name="Fac">'Annuale'!#REF!</definedName>
    <definedName name="Fg1_as_cn" localSheetId="1">'Mensile'!$AH$41</definedName>
    <definedName name="Fg1_as_cn">'Annuale'!$R$41</definedName>
    <definedName name="fgl" localSheetId="1">'Mensile'!$AJ$61</definedName>
    <definedName name="fgl">'Annuale'!$T$61</definedName>
    <definedName name="fgl3" localSheetId="1">'Mensile'!$AJ$62</definedName>
    <definedName name="fgl3">'Annuale'!$T$62</definedName>
    <definedName name="fglh" localSheetId="1">'Mensile'!$AJ$63</definedName>
    <definedName name="fglh">'Annuale'!$T$63</definedName>
    <definedName name="Fhcp" localSheetId="1">'Mensile'!#REF!</definedName>
    <definedName name="Fhcp">'Annuale'!#REF!</definedName>
    <definedName name="Fig" localSheetId="1">'Mensile'!#REF!</definedName>
    <definedName name="Fig">'Annuale'!#REF!</definedName>
    <definedName name="Fig3" localSheetId="1">'Mensile'!#REF!</definedName>
    <definedName name="Fig3">'Annuale'!#REF!</definedName>
    <definedName name="Figlio" localSheetId="1">'Mensile'!$AJ$14</definedName>
    <definedName name="Figlio">'Annuale'!$T$14</definedName>
    <definedName name="ImFisFin" localSheetId="1">'Mensile'!$AM$59</definedName>
    <definedName name="ImFisFin">'Annuale'!$W$59</definedName>
    <definedName name="inc_imf" localSheetId="1">'Mensile'!$AL$59</definedName>
    <definedName name="inc_imf">'Annuale'!$V$59</definedName>
    <definedName name="Ind" localSheetId="1">'Mensile'!$AN$13</definedName>
    <definedName name="Ind">'Annuale'!$X$13</definedName>
    <definedName name="IndRapp" localSheetId="1">'Mensile'!$AM$61:$AN$64</definedName>
    <definedName name="IndRapp">'Annuale'!$W$61:$X$64</definedName>
    <definedName name="Ire" localSheetId="1">'Mensile'!$AE$48</definedName>
    <definedName name="Ire">'Annuale'!$O$48</definedName>
    <definedName name="IreTab" localSheetId="1">'Mensile'!$AE$46</definedName>
    <definedName name="IreTab">'Annuale'!$O$46</definedName>
    <definedName name="LettB" localSheetId="1">'Mensile'!$AJ$50:$AL$56</definedName>
    <definedName name="LettB">'Annuale'!$T$50:$V$56</definedName>
    <definedName name="Lordo" localSheetId="1">'Mensile'!$U$16</definedName>
    <definedName name="Lordo">'Annuale'!$E$16</definedName>
    <definedName name="Macrnuova">'[1]Macro1'!$A$1</definedName>
    <definedName name="Macro1">#REF!</definedName>
    <definedName name="Macro10">#REF!</definedName>
    <definedName name="Macro11">#REF!</definedName>
    <definedName name="Macro15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_altri" localSheetId="1">'Mensile'!#REF!</definedName>
    <definedName name="me_altri">'Annuale'!#REF!</definedName>
    <definedName name="me_assco" localSheetId="1">'Mensile'!#REF!</definedName>
    <definedName name="me_assco">'Annuale'!#REF!</definedName>
    <definedName name="Me_co" localSheetId="1">'Mensile'!$Y$20</definedName>
    <definedName name="Me_co">'Annuale'!$I$20</definedName>
    <definedName name="me_fgl" localSheetId="1">'Mensile'!#REF!</definedName>
    <definedName name="me_fgl">'Annuale'!#REF!</definedName>
    <definedName name="me_fhcp" localSheetId="1">'Mensile'!#REF!</definedName>
    <definedName name="me_fhcp">'Annuale'!#REF!</definedName>
    <definedName name="me_fig" localSheetId="1">'Mensile'!#REF!</definedName>
    <definedName name="me_fig">'Annuale'!#REF!</definedName>
    <definedName name="me_fig3" localSheetId="1">'Mensile'!#REF!</definedName>
    <definedName name="me_fig3">'Annuale'!#REF!</definedName>
    <definedName name="N_Fgl" localSheetId="1">'Mensile'!$T$22</definedName>
    <definedName name="N_Fgl">'Annuale'!$D$22</definedName>
    <definedName name="ottan" localSheetId="1">'Mensile'!$AL$38:$AM$41</definedName>
    <definedName name="ottan">'Annuale'!$V$38:$W$41</definedName>
    <definedName name="Perc">'Annuale'!$P$24</definedName>
    <definedName name="Percm">'Mensile'!$AF$24</definedName>
    <definedName name="quar" localSheetId="1">'Mensile'!$AL$37:$AM$37</definedName>
    <definedName name="quar">'Annuale'!$V$37:$W$37</definedName>
    <definedName name="quin" localSheetId="1">'Mensile'!$AL$18:$AM$36</definedName>
    <definedName name="quin">'Annuale'!$V$18:$W$36</definedName>
    <definedName name="RaDe" localSheetId="1">'Mensile'!$AL$18:$AM$42</definedName>
    <definedName name="RaDe">'Annuale'!$V$18:$W$42</definedName>
    <definedName name="Rap1" localSheetId="1">'Mensile'!$AO$14</definedName>
    <definedName name="Rap1">'Annuale'!$Y$14</definedName>
    <definedName name="Rapp" localSheetId="1">'Mensile'!$AO$13</definedName>
    <definedName name="Rapp">'Annuale'!$Y$13</definedName>
    <definedName name="Rapp_Altri" localSheetId="1">'Mensile'!$AN$67:$AO$70</definedName>
    <definedName name="Rapp_Altri">'Annuale'!$X$67:$Y$70</definedName>
    <definedName name="Reddito_imponibile_mensile">'Mensile'!$AE$16</definedName>
    <definedName name="ReddNetto" localSheetId="1">'Mensile'!$AE$45</definedName>
    <definedName name="ReddNetto">'Annuale'!$O$45</definedName>
    <definedName name="Rnet_men">'Mensile'!$AE$16</definedName>
    <definedName name="Som_fg" localSheetId="1">'Mensile'!$AK$60</definedName>
    <definedName name="Som_fg">'Annuale'!$U$60</definedName>
    <definedName name="Spunta" localSheetId="1">'Mensile'!#REF!</definedName>
    <definedName name="Spunta">'Annuale'!#REF!</definedName>
    <definedName name="Tab_1" localSheetId="1">'Mensile'!$AQ$61:$AR$63</definedName>
    <definedName name="Tab_1">'Annuale'!$AA$61:$AB$63</definedName>
    <definedName name="TotDetr" localSheetId="1">'Mensile'!$AE$47</definedName>
    <definedName name="TotDetr">'Annuale'!$O$47</definedName>
    <definedName name="vuota" localSheetId="1">'Mensile'!$AN$2</definedName>
    <definedName name="vuota">'Annuale'!$X$2</definedName>
    <definedName name="Vuota1" localSheetId="1">'Mensile'!$AM$1</definedName>
    <definedName name="Vuota1">'Annuale'!$W$1</definedName>
  </definedNames>
  <calcPr fullCalcOnLoad="1"/>
</workbook>
</file>

<file path=xl/comments1.xml><?xml version="1.0" encoding="utf-8"?>
<comments xmlns="http://schemas.openxmlformats.org/spreadsheetml/2006/main">
  <authors>
    <author>Peppe</author>
    <author>Giuseppe Rizzo</author>
  </authors>
  <commentList>
    <comment ref="D20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I20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D22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per le ulteriori specificazioni</t>
        </r>
      </text>
    </comment>
    <comment ref="N22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qualità.
Il computo è predisposto per scegliere automaticamente la detrazione più favorevole.
Altrettanto automaticamente, se questa opzione non vale per tutto l'anno,  computa per differenza i mesi con la condizione semplicemente di figlio a carico.</t>
        </r>
      </text>
    </comment>
    <comment ref="C24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2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3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K24" authorId="1">
      <text>
        <r>
          <rPr>
            <b/>
            <sz val="10"/>
            <color indexed="10"/>
            <rFont val="Times New Roman"/>
            <family val="1"/>
          </rPr>
          <t>Peppe:
Se non viene valorizzata la cella con in numero dei mesi non effettua il calcolo</t>
        </r>
      </text>
    </comment>
  </commentList>
</comments>
</file>

<file path=xl/comments2.xml><?xml version="1.0" encoding="utf-8"?>
<comments xmlns="http://schemas.openxmlformats.org/spreadsheetml/2006/main">
  <authors>
    <author>Peppe</author>
    <author>Giuseppe Rizzo</author>
  </authors>
  <commentList>
    <comment ref="T20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Y20" authorId="0">
      <text>
        <r>
          <rPr>
            <b/>
            <sz val="10"/>
            <color indexed="10"/>
            <rFont val="Times New Roman"/>
            <family val="1"/>
          </rPr>
          <t>Peppe:
Indicare i mesi a carico</t>
        </r>
      </text>
    </comment>
    <comment ref="T22" authorId="0">
      <text>
        <r>
          <rPr>
            <b/>
            <sz val="10"/>
            <color indexed="10"/>
            <rFont val="Times New Roman"/>
            <family val="1"/>
          </rPr>
          <t>Peppe:
Indicato il numero complessivo dei figli si apriranno automaticamente altrettanti righi  per le ulteriori specificazioni</t>
        </r>
      </text>
    </comment>
    <comment ref="AD22" authorId="0">
      <text>
        <r>
          <rPr>
            <b/>
            <sz val="10"/>
            <color indexed="10"/>
            <rFont val="Times New Roman"/>
            <family val="1"/>
          </rPr>
          <t>Peppe:
Spuntare la cella con una X o V 
Automaticamente evidenzierà la cella dove indicare i mesi a carico con questa qualità</t>
        </r>
      </text>
    </comment>
    <comment ref="S24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T32" authorId="0">
      <text>
        <r>
          <rPr>
            <b/>
            <sz val="10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W43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  <comment ref="D20" authorId="0">
      <text>
        <r>
          <rPr>
            <b/>
            <sz val="10"/>
            <color indexed="10"/>
            <rFont val="Times New Roman"/>
            <family val="1"/>
          </rPr>
          <t>Peppe:
Indicare SI o NO</t>
        </r>
      </text>
    </comment>
    <comment ref="D22" authorId="1">
      <text>
        <r>
          <rPr>
            <b/>
            <sz val="8"/>
            <color indexed="10"/>
            <rFont val="Tahoma"/>
            <family val="2"/>
          </rPr>
          <t>Peppe:
Indicato il numero complessivo dei figli si apriranno automaticamente le righe per le ulteriori specificazioni</t>
        </r>
      </text>
    </comment>
    <comment ref="C24" authorId="0">
      <text>
        <r>
          <rPr>
            <b/>
            <sz val="10"/>
            <color indexed="10"/>
            <rFont val="Times New Roman"/>
            <family val="1"/>
          </rPr>
          <t>Peppe:
Spuntare le celle relative a tutte le condizioni di ogni singolo figlio su ogni rigo  con X o V.
Indicare infine nella colonna mesi il numero dei  mesi a carico</t>
        </r>
      </text>
    </comment>
    <comment ref="D32" authorId="1">
      <text>
        <r>
          <rPr>
            <b/>
            <sz val="8"/>
            <color indexed="10"/>
            <rFont val="Times New Roman"/>
            <family val="1"/>
          </rPr>
          <t>Peppe:
Indicare il numero degli altri familiari a carico di cui all'art. 433 cod.civ.</t>
        </r>
      </text>
    </comment>
    <comment ref="G43" authorId="0">
      <text>
        <r>
          <rPr>
            <b/>
            <sz val="10"/>
            <color indexed="10"/>
            <rFont val="Times New Roman"/>
            <family val="1"/>
          </rPr>
          <t>Peppe:
Se il rapporto di lavoro è a tempo determinato, valorizzare la cella con X o V.
Automaticamente eliminerà la spunta nella cella superiore</t>
        </r>
      </text>
    </comment>
  </commentList>
</comments>
</file>

<file path=xl/sharedStrings.xml><?xml version="1.0" encoding="utf-8"?>
<sst xmlns="http://schemas.openxmlformats.org/spreadsheetml/2006/main" count="274" uniqueCount="116">
  <si>
    <t>UFFICIO UNICO NOTIFICAZIONI ESECUZIONI PROTESTI - DIRIGENZA</t>
  </si>
  <si>
    <t>TRIBUNALE DI TERMINI IMERESE</t>
  </si>
  <si>
    <t xml:space="preserve">A  N  N  O   </t>
  </si>
  <si>
    <t>Ufficiale Giudiziario</t>
  </si>
  <si>
    <t>C1</t>
  </si>
  <si>
    <t>C.F. :</t>
  </si>
  <si>
    <t xml:space="preserve">nato a   </t>
  </si>
  <si>
    <t xml:space="preserve">il   </t>
  </si>
  <si>
    <t>Emolumenti</t>
  </si>
  <si>
    <t>Contributi Obbligatori</t>
  </si>
  <si>
    <t>Opera di Previdenza</t>
  </si>
  <si>
    <t>Cassa Pensione</t>
  </si>
  <si>
    <t>Indennità di Amministrazione</t>
  </si>
  <si>
    <t>Fondo di Credito</t>
  </si>
  <si>
    <t>Trasferte imponibili</t>
  </si>
  <si>
    <t>Eventuali</t>
  </si>
  <si>
    <t>Percentuale</t>
  </si>
  <si>
    <t>Totale</t>
  </si>
  <si>
    <t>Gratifica Annuale</t>
  </si>
  <si>
    <t>Arretrati tassazione corrente</t>
  </si>
  <si>
    <t>%</t>
  </si>
  <si>
    <t>Coniuge   …………………………………………………………..</t>
  </si>
  <si>
    <t>Reddito Imponibile   ……………………………………….</t>
  </si>
  <si>
    <t>Addizionali</t>
  </si>
  <si>
    <t>Aliquota</t>
  </si>
  <si>
    <t>Imponibile</t>
  </si>
  <si>
    <t>Importo Annuale</t>
  </si>
  <si>
    <t>N. Rate</t>
  </si>
  <si>
    <t>Importo Mensile</t>
  </si>
  <si>
    <t>Addizionale Regionale</t>
  </si>
  <si>
    <t>Addizionale Comunale</t>
  </si>
  <si>
    <t>Aliquote</t>
  </si>
  <si>
    <t>da</t>
  </si>
  <si>
    <t>a</t>
  </si>
  <si>
    <t>Detrazioni</t>
  </si>
  <si>
    <t>Coniuge</t>
  </si>
  <si>
    <t>Figlio</t>
  </si>
  <si>
    <t>Altre</t>
  </si>
  <si>
    <t>Totale detrazioni spettanti   ………………………………..</t>
  </si>
  <si>
    <t>Importo</t>
  </si>
  <si>
    <t>Familiare</t>
  </si>
  <si>
    <t xml:space="preserve">Reddito Netto </t>
  </si>
  <si>
    <t>detrazione</t>
  </si>
  <si>
    <t>Rapporto</t>
  </si>
  <si>
    <t>Figli    ………………...…………………………………………….</t>
  </si>
  <si>
    <t>Rapporti</t>
  </si>
  <si>
    <t>Lett.a)c.1</t>
  </si>
  <si>
    <t>Indice Rapporti</t>
  </si>
  <si>
    <t>Figli</t>
  </si>
  <si>
    <t>Importo Fisso</t>
  </si>
  <si>
    <t>Aumento Fisso</t>
  </si>
  <si>
    <t>&lt; anni 3</t>
  </si>
  <si>
    <t>handicap</t>
  </si>
  <si>
    <t>figlio</t>
  </si>
  <si>
    <t>Somma Figli</t>
  </si>
  <si>
    <t>Importo fisso finale</t>
  </si>
  <si>
    <t>Detrazione spett.</t>
  </si>
  <si>
    <t>Detrazione tab.</t>
  </si>
  <si>
    <t>Altri familiari a carico  ……………………………………………</t>
  </si>
  <si>
    <t>Altri</t>
  </si>
  <si>
    <t>x</t>
  </si>
  <si>
    <t>Port. handicap</t>
  </si>
  <si>
    <t>IRPEF tabellare   ………………………………..</t>
  </si>
  <si>
    <t>Imposizione fiscale (IRPEF) Annuale   ………………………</t>
  </si>
  <si>
    <t>Coniuge Anno</t>
  </si>
  <si>
    <t>!° figlio assenza coniuge anno</t>
  </si>
  <si>
    <t>1° figlio</t>
  </si>
  <si>
    <t>&gt; 3 anni</t>
  </si>
  <si>
    <t>&lt; 3 anni</t>
  </si>
  <si>
    <t>Familiari a Carico</t>
  </si>
  <si>
    <t>Figli : Numero complessivo</t>
  </si>
  <si>
    <t xml:space="preserve">        </t>
  </si>
  <si>
    <t>Percentuale ripartizione detrazione tra i coniugi:  fisso 50%; previo accordo 0 o 100</t>
  </si>
  <si>
    <t>DETRAZIONI CARICHI DI FAMIGLIA (art. 12 TUIR)</t>
  </si>
  <si>
    <t>ALTRE DETRAZIONI  (art. 13 TUIR)</t>
  </si>
  <si>
    <t>Altre detrazioni</t>
  </si>
  <si>
    <t>Rapporto di lavoro a tempo indeterminato</t>
  </si>
  <si>
    <t>Rapporto di lavoro a tempo determinato</t>
  </si>
  <si>
    <t>Periodo di lavoro nell'anno mesi</t>
  </si>
  <si>
    <t>Totale detrazioni per carichi di famiglia ………………….</t>
  </si>
  <si>
    <t>Detrazione spettante ……………………</t>
  </si>
  <si>
    <t>Stipendio Tabellare + RIA</t>
  </si>
  <si>
    <t>Acconto 30%</t>
  </si>
  <si>
    <t>Mesi</t>
  </si>
  <si>
    <t>giuseppe.rizzo03@giustizia.it</t>
  </si>
  <si>
    <t>giurizzo@virgilio.it</t>
  </si>
  <si>
    <t>Per l'iserimento dei dati leggere i commenti per ogni cella da valorizzare, puntando il mouse sulla cella stessa</t>
  </si>
  <si>
    <t>Giuseppe Rizzo                             Dirigente Unep Termini Imerese</t>
  </si>
  <si>
    <t>IMPOSTA SUL REDDITO  -  ANNUALE</t>
  </si>
  <si>
    <t>Altri familiari a carico n.</t>
  </si>
  <si>
    <t>Codice Regione</t>
  </si>
  <si>
    <t>Codice Comune</t>
  </si>
  <si>
    <t>G273</t>
  </si>
  <si>
    <t>Imposizione fiscale (IRPEF) Mensile   ………………………</t>
  </si>
  <si>
    <t>Residente</t>
  </si>
  <si>
    <t>Acconto 2008 del 30%</t>
  </si>
  <si>
    <t>Acconto 2008 da  versare dal mese di Marzo 2008 in max 9 rate da aggiungere alle rate sul reddito 2007</t>
  </si>
  <si>
    <t>Reddito imponibile mensile</t>
  </si>
  <si>
    <t>Palermo</t>
  </si>
  <si>
    <t>fino a</t>
  </si>
  <si>
    <t>&gt; di 75.000,00</t>
  </si>
  <si>
    <t>Giuseppe Rizzo                                         Dirigente Unep Termini Imerese</t>
  </si>
  <si>
    <t>Attenzione: in caso di variazione delle aliquote e/o degli scaglioni, sblocare la tabella con il pulsante "Sblocca". Quindi procedere al blocco con il pulsante successivo</t>
  </si>
  <si>
    <t>Attenzione: le detrazioni sono arrotodate a cifra intera.</t>
  </si>
  <si>
    <t>Attenzione: le detrazioni sono arrotodate a cifra intera.                Per il computo della detrazione lo stipendio mensile viene rapportato a tredici mensilità</t>
  </si>
  <si>
    <t>Password: loredana76</t>
  </si>
  <si>
    <t>Aliquote contributive</t>
  </si>
  <si>
    <t>C.P.U.G.</t>
  </si>
  <si>
    <t>Fondo Credito</t>
  </si>
  <si>
    <t>Opere Previdenza</t>
  </si>
  <si>
    <t xml:space="preserve">Sul 80% </t>
  </si>
  <si>
    <t>Sul 100%</t>
  </si>
  <si>
    <t>Aliquote Irpef</t>
  </si>
  <si>
    <t>Eventuali         (sconta O.P.)</t>
  </si>
  <si>
    <t>Eventuali         (non sconta O.P.)</t>
  </si>
  <si>
    <t>IMPOSTA SUL REDDITO  -  MENSILE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</si>
</sst>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* #,##0.0_-;\-* #,##0.0_-;_-* &quot;-&quot;_-;_-@_-"/>
    <numFmt numFmtId="172" formatCode="_-* #,##0.00_-;\-* #,##0.00_-;_-* &quot;-&quot;_-;_-@_-"/>
    <numFmt numFmtId="173" formatCode="0.0%"/>
    <numFmt numFmtId="174" formatCode="d/m/yy"/>
    <numFmt numFmtId="175" formatCode="mmmm\-yy"/>
    <numFmt numFmtId="176" formatCode="00000"/>
    <numFmt numFmtId="177" formatCode="d\ mmmm\ yyyy"/>
    <numFmt numFmtId="178" formatCode="d/m/yyyy"/>
    <numFmt numFmtId="179" formatCode="0_ ;\-0\ "/>
    <numFmt numFmtId="180" formatCode="dd/mm/yy"/>
    <numFmt numFmtId="181" formatCode="0.0"/>
    <numFmt numFmtId="182" formatCode="mm"/>
    <numFmt numFmtId="183" formatCode="mmm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_-* #,##0.0000_-;\-* #,##0.0000_-;_-* &quot;-&quot;????_-;_-@_-"/>
    <numFmt numFmtId="193" formatCode="yyyy"/>
    <numFmt numFmtId="194" formatCode="[$-410]dddd\ d\ mmmm\ yyyy"/>
    <numFmt numFmtId="195" formatCode="mm/yyyy"/>
    <numFmt numFmtId="196" formatCode="mmm/yyyy"/>
    <numFmt numFmtId="197" formatCode="mmm\-yyyy"/>
    <numFmt numFmtId="198" formatCode="0.0000"/>
    <numFmt numFmtId="199" formatCode="0.000000"/>
    <numFmt numFmtId="200" formatCode="0.00000"/>
    <numFmt numFmtId="201" formatCode="0.000"/>
    <numFmt numFmtId="202" formatCode="0.000%"/>
  </numFmts>
  <fonts count="18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8"/>
      <name val="Times New Roman"/>
      <family val="1"/>
    </font>
    <font>
      <sz val="8"/>
      <name val="Times New Roman"/>
      <family val="0"/>
    </font>
    <font>
      <sz val="6"/>
      <name val="Times New Roman"/>
      <family val="0"/>
    </font>
    <font>
      <b/>
      <i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ahoma"/>
      <family val="2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 style="thin"/>
      <top style="hair"/>
      <bottom style="hair"/>
    </border>
    <border>
      <left style="double">
        <color indexed="10"/>
      </left>
      <right style="thin"/>
      <top style="hair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43" fontId="3" fillId="2" borderId="1" xfId="18" applyFont="1" applyFill="1" applyBorder="1" applyAlignment="1" applyProtection="1">
      <alignment/>
      <protection hidden="1" locked="0"/>
    </xf>
    <xf numFmtId="0" fontId="3" fillId="2" borderId="1" xfId="0" applyFont="1" applyFill="1" applyBorder="1" applyAlignment="1" applyProtection="1">
      <alignment horizontal="center"/>
      <protection hidden="1" locked="0"/>
    </xf>
    <xf numFmtId="43" fontId="3" fillId="3" borderId="1" xfId="18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 quotePrefix="1">
      <alignment horizontal="center"/>
    </xf>
    <xf numFmtId="43" fontId="3" fillId="4" borderId="2" xfId="18" applyFont="1" applyFill="1" applyBorder="1" applyAlignment="1">
      <alignment/>
    </xf>
    <xf numFmtId="9" fontId="3" fillId="4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43" fontId="3" fillId="4" borderId="3" xfId="18" applyFont="1" applyFill="1" applyBorder="1" applyAlignment="1">
      <alignment/>
    </xf>
    <xf numFmtId="9" fontId="3" fillId="4" borderId="3" xfId="0" applyNumberFormat="1" applyFont="1" applyFill="1" applyBorder="1" applyAlignment="1">
      <alignment/>
    </xf>
    <xf numFmtId="43" fontId="3" fillId="0" borderId="0" xfId="18" applyFont="1" applyAlignment="1">
      <alignment/>
    </xf>
    <xf numFmtId="189" fontId="3" fillId="0" borderId="0" xfId="18" applyNumberFormat="1" applyFont="1" applyAlignment="1">
      <alignment/>
    </xf>
    <xf numFmtId="43" fontId="0" fillId="0" borderId="0" xfId="18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3" fontId="0" fillId="0" borderId="0" xfId="18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0" fillId="0" borderId="1" xfId="18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>
      <alignment horizontal="center"/>
    </xf>
    <xf numFmtId="0" fontId="3" fillId="2" borderId="5" xfId="0" applyFont="1" applyFill="1" applyBorder="1" applyAlignment="1" applyProtection="1">
      <alignment horizontal="left"/>
      <protection hidden="1" locked="0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 locked="0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/>
      <protection hidden="1"/>
    </xf>
    <xf numFmtId="0" fontId="3" fillId="3" borderId="11" xfId="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/>
      <protection hidden="1"/>
    </xf>
    <xf numFmtId="0" fontId="3" fillId="3" borderId="14" xfId="0" applyFont="1" applyFill="1" applyBorder="1" applyAlignment="1" applyProtection="1">
      <alignment/>
      <protection hidden="1"/>
    </xf>
    <xf numFmtId="0" fontId="3" fillId="3" borderId="15" xfId="0" applyFont="1" applyFill="1" applyBorder="1" applyAlignment="1" applyProtection="1">
      <alignment/>
      <protection hidden="1"/>
    </xf>
    <xf numFmtId="43" fontId="3" fillId="3" borderId="1" xfId="18" applyFont="1" applyFill="1" applyBorder="1" applyAlignment="1">
      <alignment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hidden="1" locked="0"/>
    </xf>
    <xf numFmtId="0" fontId="0" fillId="3" borderId="1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43" fontId="3" fillId="3" borderId="5" xfId="18" applyFont="1" applyFill="1" applyBorder="1" applyAlignment="1" applyProtection="1">
      <alignment/>
      <protection hidden="1"/>
    </xf>
    <xf numFmtId="43" fontId="3" fillId="3" borderId="4" xfId="18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18" xfId="0" applyFill="1" applyBorder="1" applyAlignment="1">
      <alignment/>
    </xf>
    <xf numFmtId="0" fontId="3" fillId="3" borderId="0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0" xfId="0" applyFont="1" applyFill="1" applyBorder="1" applyAlignment="1" applyProtection="1">
      <alignment horizontal="center"/>
      <protection locked="0"/>
    </xf>
    <xf numFmtId="43" fontId="3" fillId="3" borderId="0" xfId="18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0" fillId="3" borderId="2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3" fillId="3" borderId="22" xfId="0" applyFon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vertical="center" wrapText="1"/>
    </xf>
    <xf numFmtId="0" fontId="0" fillId="3" borderId="18" xfId="0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 applyProtection="1">
      <alignment horizontal="center"/>
      <protection hidden="1" locked="0"/>
    </xf>
    <xf numFmtId="198" fontId="0" fillId="0" borderId="0" xfId="0" applyNumberFormat="1" applyAlignment="1">
      <alignment/>
    </xf>
    <xf numFmtId="0" fontId="3" fillId="5" borderId="1" xfId="0" applyFont="1" applyFill="1" applyBorder="1" applyAlignment="1" applyProtection="1">
      <alignment horizontal="center"/>
      <protection locked="0"/>
    </xf>
    <xf numFmtId="43" fontId="0" fillId="0" borderId="0" xfId="18" applyAlignment="1">
      <alignment/>
    </xf>
    <xf numFmtId="43" fontId="0" fillId="0" borderId="0" xfId="18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/>
    </xf>
    <xf numFmtId="43" fontId="0" fillId="3" borderId="1" xfId="18" applyFill="1" applyBorder="1" applyAlignment="1">
      <alignment/>
    </xf>
    <xf numFmtId="43" fontId="3" fillId="3" borderId="28" xfId="18" applyFont="1" applyFill="1" applyBorder="1" applyAlignment="1" applyProtection="1">
      <alignment/>
      <protection/>
    </xf>
    <xf numFmtId="43" fontId="3" fillId="3" borderId="29" xfId="18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5" fillId="3" borderId="30" xfId="0" applyFont="1" applyFill="1" applyBorder="1" applyAlignment="1" applyProtection="1">
      <alignment horizontal="center"/>
      <protection/>
    </xf>
    <xf numFmtId="0" fontId="5" fillId="3" borderId="31" xfId="0" applyFont="1" applyFill="1" applyBorder="1" applyAlignment="1" applyProtection="1" quotePrefix="1">
      <alignment horizontal="center"/>
      <protection/>
    </xf>
    <xf numFmtId="9" fontId="3" fillId="3" borderId="32" xfId="0" applyNumberFormat="1" applyFont="1" applyFill="1" applyBorder="1" applyAlignment="1" applyProtection="1">
      <alignment horizontal="center"/>
      <protection/>
    </xf>
    <xf numFmtId="9" fontId="3" fillId="3" borderId="32" xfId="18" applyNumberFormat="1" applyFont="1" applyFill="1" applyBorder="1" applyAlignment="1" applyProtection="1">
      <alignment horizontal="center"/>
      <protection/>
    </xf>
    <xf numFmtId="9" fontId="3" fillId="3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hidden="1"/>
    </xf>
    <xf numFmtId="43" fontId="0" fillId="3" borderId="0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43" fontId="3" fillId="0" borderId="0" xfId="18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5" fillId="4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hidden="1" locked="0"/>
    </xf>
    <xf numFmtId="0" fontId="7" fillId="2" borderId="7" xfId="0" applyFont="1" applyFill="1" applyBorder="1" applyAlignment="1" applyProtection="1">
      <alignment horizontal="center"/>
      <protection hidden="1" locked="0"/>
    </xf>
    <xf numFmtId="0" fontId="7" fillId="2" borderId="4" xfId="0" applyFont="1" applyFill="1" applyBorder="1" applyAlignment="1" applyProtection="1">
      <alignment horizontal="center"/>
      <protection hidden="1" locked="0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3" fontId="3" fillId="2" borderId="5" xfId="18" applyFont="1" applyFill="1" applyBorder="1" applyAlignment="1" applyProtection="1">
      <alignment horizontal="center"/>
      <protection hidden="1" locked="0"/>
    </xf>
    <xf numFmtId="43" fontId="3" fillId="2" borderId="7" xfId="18" applyFont="1" applyFill="1" applyBorder="1" applyAlignment="1" applyProtection="1">
      <alignment horizontal="center"/>
      <protection hidden="1" locked="0"/>
    </xf>
    <xf numFmtId="43" fontId="3" fillId="2" borderId="4" xfId="18" applyFont="1" applyFill="1" applyBorder="1" applyAlignment="1" applyProtection="1">
      <alignment horizontal="center"/>
      <protection hidden="1" locked="0"/>
    </xf>
    <xf numFmtId="0" fontId="3" fillId="2" borderId="5" xfId="0" applyFont="1" applyFill="1" applyBorder="1" applyAlignment="1" applyProtection="1">
      <alignment horizontal="left"/>
      <protection hidden="1" locked="0"/>
    </xf>
    <xf numFmtId="0" fontId="3" fillId="2" borderId="7" xfId="0" applyFont="1" applyFill="1" applyBorder="1" applyAlignment="1" applyProtection="1">
      <alignment horizontal="left"/>
      <protection hidden="1" locked="0"/>
    </xf>
    <xf numFmtId="0" fontId="3" fillId="2" borderId="4" xfId="0" applyFont="1" applyFill="1" applyBorder="1" applyAlignment="1" applyProtection="1">
      <alignment horizontal="left"/>
      <protection hidden="1" locked="0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/>
      <protection hidden="1" locked="0"/>
    </xf>
    <xf numFmtId="0" fontId="3" fillId="2" borderId="6" xfId="0" applyFont="1" applyFill="1" applyBorder="1" applyAlignment="1" applyProtection="1">
      <alignment horizontal="center"/>
      <protection hidden="1" locked="0"/>
    </xf>
    <xf numFmtId="0" fontId="3" fillId="2" borderId="9" xfId="0" applyFont="1" applyFill="1" applyBorder="1" applyAlignment="1" applyProtection="1">
      <alignment horizontal="center"/>
      <protection hidden="1" locked="0"/>
    </xf>
    <xf numFmtId="0" fontId="8" fillId="0" borderId="0" xfId="0" applyFont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43" fontId="3" fillId="3" borderId="5" xfId="18" applyFont="1" applyFill="1" applyBorder="1" applyAlignment="1" applyProtection="1">
      <alignment horizontal="center"/>
      <protection hidden="1"/>
    </xf>
    <xf numFmtId="43" fontId="3" fillId="3" borderId="4" xfId="18" applyFont="1" applyFill="1" applyBorder="1" applyAlignment="1" applyProtection="1">
      <alignment horizontal="center"/>
      <protection hidden="1"/>
    </xf>
    <xf numFmtId="43" fontId="5" fillId="3" borderId="22" xfId="0" applyNumberFormat="1" applyFont="1" applyFill="1" applyBorder="1" applyAlignment="1" applyProtection="1">
      <alignment horizontal="center"/>
      <protection hidden="1"/>
    </xf>
    <xf numFmtId="43" fontId="5" fillId="3" borderId="43" xfId="0" applyNumberFormat="1" applyFont="1" applyFill="1" applyBorder="1" applyAlignment="1" applyProtection="1">
      <alignment horizontal="center"/>
      <protection hidden="1"/>
    </xf>
    <xf numFmtId="43" fontId="3" fillId="3" borderId="44" xfId="18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3" fontId="3" fillId="3" borderId="7" xfId="18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43" fontId="3" fillId="3" borderId="45" xfId="18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9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9" fontId="3" fillId="2" borderId="46" xfId="0" applyNumberFormat="1" applyFont="1" applyFill="1" applyBorder="1" applyAlignment="1" applyProtection="1">
      <alignment horizontal="center" vertical="center"/>
      <protection hidden="1" locked="0"/>
    </xf>
    <xf numFmtId="9" fontId="3" fillId="2" borderId="47" xfId="0" applyNumberFormat="1" applyFont="1" applyFill="1" applyBorder="1" applyAlignment="1" applyProtection="1">
      <alignment horizontal="center" vertical="center"/>
      <protection hidden="1" locked="0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left"/>
      <protection hidden="1"/>
    </xf>
    <xf numFmtId="0" fontId="3" fillId="3" borderId="26" xfId="0" applyFont="1" applyFill="1" applyBorder="1" applyAlignment="1" applyProtection="1">
      <alignment horizontal="left"/>
      <protection hidden="1"/>
    </xf>
    <xf numFmtId="0" fontId="3" fillId="3" borderId="27" xfId="0" applyFont="1" applyFill="1" applyBorder="1" applyAlignment="1" applyProtection="1">
      <alignment horizontal="left"/>
      <protection hidden="1"/>
    </xf>
    <xf numFmtId="0" fontId="10" fillId="7" borderId="37" xfId="0" applyFont="1" applyFill="1" applyBorder="1" applyAlignment="1" applyProtection="1">
      <alignment horizontal="center" vertical="center" wrapText="1"/>
      <protection hidden="1"/>
    </xf>
    <xf numFmtId="0" fontId="10" fillId="7" borderId="38" xfId="0" applyFont="1" applyFill="1" applyBorder="1" applyAlignment="1" applyProtection="1">
      <alignment horizontal="center" vertical="center" wrapText="1"/>
      <protection hidden="1"/>
    </xf>
    <xf numFmtId="0" fontId="10" fillId="7" borderId="39" xfId="0" applyFont="1" applyFill="1" applyBorder="1" applyAlignment="1" applyProtection="1">
      <alignment horizontal="center" vertical="center" wrapText="1"/>
      <protection hidden="1"/>
    </xf>
    <xf numFmtId="0" fontId="10" fillId="7" borderId="34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0" fillId="7" borderId="40" xfId="0" applyFont="1" applyFill="1" applyBorder="1" applyAlignment="1" applyProtection="1">
      <alignment horizontal="center" vertical="center" wrapText="1"/>
      <protection hidden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10" fillId="7" borderId="40" xfId="0" applyFont="1" applyFill="1" applyBorder="1" applyAlignment="1" applyProtection="1">
      <alignment horizontal="center"/>
      <protection hidden="1"/>
    </xf>
    <xf numFmtId="0" fontId="10" fillId="7" borderId="35" xfId="0" applyFont="1" applyFill="1" applyBorder="1" applyAlignment="1" applyProtection="1">
      <alignment horizontal="center"/>
      <protection hidden="1"/>
    </xf>
    <xf numFmtId="0" fontId="10" fillId="7" borderId="36" xfId="0" applyFont="1" applyFill="1" applyBorder="1" applyAlignment="1" applyProtection="1">
      <alignment horizontal="center"/>
      <protection hidden="1"/>
    </xf>
    <xf numFmtId="0" fontId="10" fillId="7" borderId="41" xfId="0" applyFont="1" applyFill="1" applyBorder="1" applyAlignment="1" applyProtection="1">
      <alignment horizontal="center"/>
      <protection hidden="1"/>
    </xf>
    <xf numFmtId="0" fontId="0" fillId="7" borderId="3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righ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 locked="0"/>
    </xf>
    <xf numFmtId="0" fontId="3" fillId="2" borderId="26" xfId="0" applyFont="1" applyFill="1" applyBorder="1" applyAlignment="1" applyProtection="1">
      <alignment horizontal="center"/>
      <protection hidden="1" locked="0"/>
    </xf>
    <xf numFmtId="0" fontId="3" fillId="2" borderId="27" xfId="0" applyFont="1" applyFill="1" applyBorder="1" applyAlignment="1" applyProtection="1">
      <alignment horizontal="center"/>
      <protection hidden="1" locked="0"/>
    </xf>
    <xf numFmtId="14" fontId="3" fillId="2" borderId="25" xfId="0" applyNumberFormat="1" applyFont="1" applyFill="1" applyBorder="1" applyAlignment="1" applyProtection="1">
      <alignment horizontal="center"/>
      <protection locked="0"/>
    </xf>
    <xf numFmtId="14" fontId="3" fillId="2" borderId="26" xfId="0" applyNumberFormat="1" applyFont="1" applyFill="1" applyBorder="1" applyAlignment="1" applyProtection="1">
      <alignment horizontal="center"/>
      <protection locked="0"/>
    </xf>
    <xf numFmtId="14" fontId="3" fillId="2" borderId="27" xfId="0" applyNumberFormat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1" fillId="2" borderId="37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 wrapText="1"/>
    </xf>
    <xf numFmtId="43" fontId="3" fillId="3" borderId="5" xfId="18" applyFont="1" applyFill="1" applyBorder="1" applyAlignment="1">
      <alignment horizontal="center"/>
    </xf>
    <xf numFmtId="43" fontId="3" fillId="3" borderId="4" xfId="18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 locked="0"/>
    </xf>
    <xf numFmtId="0" fontId="3" fillId="2" borderId="4" xfId="0" applyFont="1" applyFill="1" applyBorder="1" applyAlignment="1" applyProtection="1">
      <alignment horizontal="center"/>
      <protection hidden="1"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/>
      <protection hidden="1" locked="0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3" fillId="3" borderId="59" xfId="20" applyNumberFormat="1" applyFont="1" applyFill="1" applyBorder="1" applyAlignment="1" applyProtection="1">
      <alignment horizontal="center" vertical="center" wrapText="1"/>
      <protection/>
    </xf>
    <xf numFmtId="10" fontId="3" fillId="3" borderId="60" xfId="20" applyNumberFormat="1" applyFont="1" applyFill="1" applyBorder="1" applyAlignment="1" applyProtection="1">
      <alignment horizontal="center" vertical="center" wrapText="1"/>
      <protection/>
    </xf>
    <xf numFmtId="10" fontId="3" fillId="3" borderId="1" xfId="20" applyNumberFormat="1" applyFont="1" applyFill="1" applyBorder="1" applyAlignment="1" applyProtection="1">
      <alignment horizontal="center" vertical="center" wrapText="1"/>
      <protection/>
    </xf>
    <xf numFmtId="10" fontId="3" fillId="3" borderId="61" xfId="20" applyNumberFormat="1" applyFont="1" applyFill="1" applyBorder="1" applyAlignment="1" applyProtection="1">
      <alignment horizontal="center" vertical="center" wrapText="1"/>
      <protection/>
    </xf>
    <xf numFmtId="10" fontId="3" fillId="3" borderId="62" xfId="20" applyNumberFormat="1" applyFont="1" applyFill="1" applyBorder="1" applyAlignment="1" applyProtection="1">
      <alignment horizontal="center" vertical="center" wrapText="1"/>
      <protection/>
    </xf>
    <xf numFmtId="10" fontId="3" fillId="3" borderId="63" xfId="20" applyNumberFormat="1" applyFont="1" applyFill="1" applyBorder="1" applyAlignment="1" applyProtection="1">
      <alignment horizontal="center" vertical="center" wrapText="1"/>
      <protection/>
    </xf>
    <xf numFmtId="0" fontId="16" fillId="3" borderId="37" xfId="0" applyFont="1" applyFill="1" applyBorder="1" applyAlignment="1" applyProtection="1">
      <alignment horizontal="center" vertical="center" wrapText="1"/>
      <protection locked="0"/>
    </xf>
    <xf numFmtId="0" fontId="16" fillId="3" borderId="39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16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5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 applyProtection="1">
      <alignment horizontal="center"/>
      <protection/>
    </xf>
    <xf numFmtId="0" fontId="14" fillId="3" borderId="65" xfId="0" applyFont="1" applyFill="1" applyBorder="1" applyAlignment="1" applyProtection="1">
      <alignment horizontal="center"/>
      <protection/>
    </xf>
    <xf numFmtId="0" fontId="14" fillId="3" borderId="66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/>
    </xf>
    <xf numFmtId="0" fontId="14" fillId="3" borderId="6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6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E8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DE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FFFF"/>
      <rgbColor rgb="00660066"/>
      <rgbColor rgb="00FF8080"/>
      <rgbColor rgb="000066CC"/>
      <rgbColor rgb="00CCCCFF"/>
      <rgbColor rgb="00000080"/>
      <rgbColor rgb="00FF00FF"/>
      <rgbColor rgb="00FFFFD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o\Impostazioni%20locali\Temporary%20Internet%20Files\Content.IE5\IFWJ8LO3\Programmi%20in%20excel\Contabilit&#224;%202003\GENNA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Iniziale"/>
      <sheetName val="Mod 69"/>
      <sheetName val="Percentuale"/>
      <sheetName val="Trasferte Ufficiali"/>
      <sheetName val="Trasferte soprann"/>
      <sheetName val="Trasferte Assistenti"/>
      <sheetName val="Spese Ufficio"/>
      <sheetName val="Verbali Riparto Trasferte"/>
      <sheetName val="Stato Mensile"/>
      <sheetName val="Diritti Operatori"/>
      <sheetName val="Diritti Computabili"/>
      <sheetName val="Indennità"/>
      <sheetName val="Stampa"/>
      <sheetName val="Statistica"/>
      <sheetName val="Irpef"/>
      <sheetName val="Gratifica annuale"/>
      <sheetName val="Statini stipendio"/>
      <sheetName val="Modulo 10%"/>
      <sheetName val="Modulo Diritti Operatori"/>
      <sheetName val="Macro1"/>
      <sheetName val="Macro2"/>
      <sheetName val="Macro3"/>
    </sheetNames>
    <sheetDataSet>
      <sheetData sheetId="19">
        <row r="1">
          <cell r="A1" t="str">
            <v>Macro1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80"/>
  <sheetViews>
    <sheetView tabSelected="1" workbookViewId="0" topLeftCell="A1">
      <selection activeCell="M14" sqref="M14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5.16015625" style="0" hidden="1" customWidth="1"/>
    <col min="18" max="18" width="10.5" style="0" hidden="1" customWidth="1"/>
    <col min="19" max="19" width="15.16015625" style="0" hidden="1" customWidth="1"/>
    <col min="20" max="20" width="16.83203125" style="0" hidden="1" customWidth="1"/>
    <col min="21" max="21" width="6.66015625" style="0" hidden="1" customWidth="1"/>
    <col min="22" max="22" width="12.83203125" style="0" hidden="1" customWidth="1"/>
    <col min="23" max="23" width="11.5" style="0" hidden="1" customWidth="1"/>
    <col min="24" max="29" width="9.33203125" style="0" hidden="1" customWidth="1"/>
    <col min="30" max="30" width="3.66015625" style="0" customWidth="1"/>
    <col min="31" max="31" width="15.66015625" style="0" bestFit="1" customWidth="1"/>
    <col min="33" max="33" width="13.66015625" style="0" customWidth="1"/>
    <col min="34" max="34" width="4.66015625" style="0" customWidth="1"/>
    <col min="35" max="35" width="14.66015625" style="0" bestFit="1" customWidth="1"/>
  </cols>
  <sheetData>
    <row r="1" spans="1:44" ht="16.5" thickTop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R1" t="s">
        <v>66</v>
      </c>
      <c r="S1" s="113" t="s">
        <v>31</v>
      </c>
      <c r="T1" s="113"/>
      <c r="U1" s="113"/>
      <c r="V1" s="113"/>
      <c r="W1" t="s">
        <v>71</v>
      </c>
      <c r="AD1" s="77"/>
      <c r="AE1" s="197" t="s">
        <v>101</v>
      </c>
      <c r="AF1" s="198"/>
      <c r="AG1" s="199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5.75">
      <c r="A2" s="135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S2" s="5" t="s">
        <v>32</v>
      </c>
      <c r="T2" s="5" t="s">
        <v>33</v>
      </c>
      <c r="U2" s="6" t="s">
        <v>20</v>
      </c>
      <c r="V2" s="5" t="s">
        <v>39</v>
      </c>
      <c r="AD2" s="77"/>
      <c r="AE2" s="200"/>
      <c r="AF2" s="201"/>
      <c r="AG2" s="202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15.75">
      <c r="A3" s="124" t="s">
        <v>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6"/>
      <c r="S3" s="7">
        <v>1</v>
      </c>
      <c r="T3" s="7">
        <f>+Aliquote!C6</f>
        <v>15000</v>
      </c>
      <c r="U3" s="8">
        <f>+Aliquote!D6</f>
        <v>0.23</v>
      </c>
      <c r="V3" s="9"/>
      <c r="AD3" s="77"/>
      <c r="AE3" s="218"/>
      <c r="AF3" s="219"/>
      <c r="AG3" s="220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ht="12.75" customHeight="1">
      <c r="A4" s="57"/>
      <c r="B4" s="58"/>
      <c r="C4" s="58"/>
      <c r="D4" s="58"/>
      <c r="E4" s="58"/>
      <c r="F4" s="58"/>
      <c r="G4" s="58"/>
      <c r="H4" s="58"/>
      <c r="I4" s="58"/>
      <c r="J4" s="120" t="s">
        <v>2</v>
      </c>
      <c r="K4" s="120"/>
      <c r="L4" s="2">
        <v>2007</v>
      </c>
      <c r="M4" s="20"/>
      <c r="N4" s="58"/>
      <c r="O4" s="58"/>
      <c r="P4" s="33"/>
      <c r="S4" s="7">
        <f>+T3+0.01</f>
        <v>15000.01</v>
      </c>
      <c r="T4" s="7">
        <f>+Aliquote!C7</f>
        <v>28000</v>
      </c>
      <c r="U4" s="8">
        <f>+Aliquote!D7</f>
        <v>0.27</v>
      </c>
      <c r="V4" s="7">
        <f>ROUND(S4*U3,2)</f>
        <v>3450</v>
      </c>
      <c r="AD4" s="77"/>
      <c r="AE4" s="212" t="s">
        <v>84</v>
      </c>
      <c r="AF4" s="213"/>
      <c r="AG4" s="214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ht="16.5" thickBot="1">
      <c r="A5" s="59" t="s">
        <v>3</v>
      </c>
      <c r="B5" s="60"/>
      <c r="C5" s="2" t="s">
        <v>4</v>
      </c>
      <c r="D5" s="117"/>
      <c r="E5" s="118"/>
      <c r="F5" s="118"/>
      <c r="G5" s="118"/>
      <c r="H5" s="118"/>
      <c r="I5" s="118"/>
      <c r="J5" s="118"/>
      <c r="K5" s="118"/>
      <c r="L5" s="119"/>
      <c r="M5" s="61" t="s">
        <v>5</v>
      </c>
      <c r="N5" s="138"/>
      <c r="O5" s="139"/>
      <c r="P5" s="140"/>
      <c r="R5" s="21"/>
      <c r="S5" s="7">
        <f>+T4+0.01</f>
        <v>28000.01</v>
      </c>
      <c r="T5" s="7">
        <f>+Aliquote!C8</f>
        <v>55000</v>
      </c>
      <c r="U5" s="8">
        <f>+Aliquote!D8</f>
        <v>0.38</v>
      </c>
      <c r="V5" s="7">
        <f>ROUND((S5-S4)*U4,2)+V4</f>
        <v>6960</v>
      </c>
      <c r="AD5" s="77"/>
      <c r="AE5" s="215" t="s">
        <v>85</v>
      </c>
      <c r="AF5" s="216"/>
      <c r="AG5" s="21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ht="12.75" customHeight="1" thickBot="1" thickTop="1">
      <c r="A6" s="221" t="s">
        <v>6</v>
      </c>
      <c r="B6" s="222"/>
      <c r="C6" s="226"/>
      <c r="D6" s="227"/>
      <c r="E6" s="227"/>
      <c r="F6" s="227"/>
      <c r="G6" s="228"/>
      <c r="H6" s="60" t="s">
        <v>7</v>
      </c>
      <c r="I6" s="229"/>
      <c r="J6" s="230"/>
      <c r="K6" s="231"/>
      <c r="L6" s="87" t="s">
        <v>94</v>
      </c>
      <c r="M6" s="121" t="s">
        <v>98</v>
      </c>
      <c r="N6" s="115"/>
      <c r="O6" s="115"/>
      <c r="P6" s="111"/>
      <c r="R6" s="21"/>
      <c r="S6" s="7">
        <f>+T5+0.01</f>
        <v>55000.01</v>
      </c>
      <c r="T6" s="7">
        <f>+Aliquote!C9</f>
        <v>75000</v>
      </c>
      <c r="U6" s="8">
        <f>+Aliquote!D9</f>
        <v>0.41</v>
      </c>
      <c r="V6" s="7">
        <f>ROUND((S6-S5)*U5,2)+V5</f>
        <v>17220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ht="12.75" customHeight="1" thickTop="1">
      <c r="A7" s="175" t="s">
        <v>8</v>
      </c>
      <c r="B7" s="176"/>
      <c r="C7" s="176"/>
      <c r="D7" s="176"/>
      <c r="E7" s="176"/>
      <c r="F7" s="176"/>
      <c r="G7" s="176"/>
      <c r="H7" s="162" t="s">
        <v>9</v>
      </c>
      <c r="I7" s="162"/>
      <c r="J7" s="162"/>
      <c r="K7" s="162"/>
      <c r="L7" s="162"/>
      <c r="M7" s="20"/>
      <c r="N7" s="20"/>
      <c r="O7" s="20"/>
      <c r="P7" s="62"/>
      <c r="R7" s="21"/>
      <c r="S7" s="7">
        <f>+T6+0.01</f>
        <v>75000.01</v>
      </c>
      <c r="T7" s="7">
        <v>1000000</v>
      </c>
      <c r="U7" s="8">
        <f>+Aliquote!D10</f>
        <v>0.43</v>
      </c>
      <c r="V7" s="7">
        <f>ROUND((S7-S6)*U6,2)+V6</f>
        <v>25420</v>
      </c>
      <c r="AD7" s="77"/>
      <c r="AE7" s="203" t="s">
        <v>86</v>
      </c>
      <c r="AF7" s="204"/>
      <c r="AG7" s="205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2.75">
      <c r="A8" s="27" t="s">
        <v>81</v>
      </c>
      <c r="B8" s="29"/>
      <c r="C8" s="29"/>
      <c r="D8" s="23"/>
      <c r="E8" s="126"/>
      <c r="F8" s="127"/>
      <c r="G8" s="128"/>
      <c r="H8" s="223" t="s">
        <v>10</v>
      </c>
      <c r="I8" s="224"/>
      <c r="J8" s="224"/>
      <c r="K8" s="225"/>
      <c r="L8" s="1"/>
      <c r="M8" s="20"/>
      <c r="N8" s="20"/>
      <c r="O8" s="20"/>
      <c r="P8" s="62"/>
      <c r="R8" s="21"/>
      <c r="S8" s="10">
        <v>1000000.01</v>
      </c>
      <c r="T8" s="10">
        <v>2000000</v>
      </c>
      <c r="U8" s="11">
        <f>+U7</f>
        <v>0.43</v>
      </c>
      <c r="V8" s="10">
        <f>ROUND((S8-S7)*U7,2)+V7</f>
        <v>423170</v>
      </c>
      <c r="AD8" s="77"/>
      <c r="AE8" s="206"/>
      <c r="AF8" s="207"/>
      <c r="AG8" s="208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</row>
    <row r="9" spans="1:44" ht="12.75">
      <c r="A9" s="27" t="s">
        <v>12</v>
      </c>
      <c r="B9" s="29"/>
      <c r="C9" s="29"/>
      <c r="D9" s="23"/>
      <c r="E9" s="126"/>
      <c r="F9" s="127"/>
      <c r="G9" s="128"/>
      <c r="H9" s="194" t="s">
        <v>11</v>
      </c>
      <c r="I9" s="195"/>
      <c r="J9" s="195"/>
      <c r="K9" s="196"/>
      <c r="L9" s="1"/>
      <c r="M9" s="20"/>
      <c r="N9" s="20"/>
      <c r="O9" s="20"/>
      <c r="P9" s="62"/>
      <c r="R9" s="22"/>
      <c r="AD9" s="77"/>
      <c r="AE9" s="206"/>
      <c r="AF9" s="207"/>
      <c r="AG9" s="208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</row>
    <row r="10" spans="1:44" ht="12.75">
      <c r="A10" s="27" t="s">
        <v>14</v>
      </c>
      <c r="B10" s="29"/>
      <c r="C10" s="29"/>
      <c r="D10" s="23"/>
      <c r="E10" s="126"/>
      <c r="F10" s="127"/>
      <c r="G10" s="128"/>
      <c r="H10" s="194" t="s">
        <v>13</v>
      </c>
      <c r="I10" s="195"/>
      <c r="J10" s="195"/>
      <c r="K10" s="196"/>
      <c r="L10" s="1"/>
      <c r="M10" s="20"/>
      <c r="N10" s="20"/>
      <c r="O10" s="20"/>
      <c r="P10" s="62"/>
      <c r="AD10" s="77"/>
      <c r="AE10" s="206"/>
      <c r="AF10" s="207"/>
      <c r="AG10" s="208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1:44" ht="13.5" thickBot="1">
      <c r="A11" s="27" t="s">
        <v>16</v>
      </c>
      <c r="B11" s="29"/>
      <c r="C11" s="29"/>
      <c r="D11" s="29"/>
      <c r="E11" s="126"/>
      <c r="F11" s="127"/>
      <c r="G11" s="128"/>
      <c r="H11" s="129" t="s">
        <v>15</v>
      </c>
      <c r="I11" s="130"/>
      <c r="J11" s="130"/>
      <c r="K11" s="131"/>
      <c r="L11" s="1"/>
      <c r="M11" s="20"/>
      <c r="N11" s="20"/>
      <c r="O11" s="20"/>
      <c r="P11" s="62"/>
      <c r="R11" s="14"/>
      <c r="AD11" s="77"/>
      <c r="AE11" s="209"/>
      <c r="AF11" s="210"/>
      <c r="AG11" s="211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1:44" ht="14.25" thickBot="1" thickTop="1">
      <c r="A12" s="27" t="s">
        <v>18</v>
      </c>
      <c r="B12" s="29"/>
      <c r="C12" s="29"/>
      <c r="D12" s="23"/>
      <c r="E12" s="126"/>
      <c r="F12" s="127"/>
      <c r="G12" s="128"/>
      <c r="H12" s="129" t="s">
        <v>15</v>
      </c>
      <c r="I12" s="130"/>
      <c r="J12" s="130"/>
      <c r="K12" s="131"/>
      <c r="L12" s="1"/>
      <c r="M12" s="20"/>
      <c r="N12" s="20"/>
      <c r="O12" s="20"/>
      <c r="P12" s="62"/>
      <c r="R12" s="14"/>
      <c r="S12" s="114" t="s">
        <v>34</v>
      </c>
      <c r="T12" s="114"/>
      <c r="U12" s="114"/>
      <c r="V12" s="114"/>
      <c r="W12" s="114"/>
      <c r="X12" t="s">
        <v>46</v>
      </c>
      <c r="Y12" t="s">
        <v>45</v>
      </c>
      <c r="AD12" s="77"/>
      <c r="AE12" s="78"/>
      <c r="AF12" s="78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44" ht="13.5" customHeight="1" thickTop="1">
      <c r="A13" s="27" t="s">
        <v>19</v>
      </c>
      <c r="B13" s="29"/>
      <c r="C13" s="29"/>
      <c r="D13" s="23"/>
      <c r="E13" s="126"/>
      <c r="F13" s="127"/>
      <c r="G13" s="128"/>
      <c r="H13" s="150" t="s">
        <v>17</v>
      </c>
      <c r="I13" s="158"/>
      <c r="J13" s="158"/>
      <c r="K13" s="151"/>
      <c r="L13" s="3">
        <f>SUM(L8:L12)</f>
        <v>0</v>
      </c>
      <c r="M13" s="20"/>
      <c r="N13" s="20"/>
      <c r="O13" s="20"/>
      <c r="P13" s="62"/>
      <c r="R13" s="14"/>
      <c r="S13" s="4" t="s">
        <v>35</v>
      </c>
      <c r="T13" s="12">
        <v>80000</v>
      </c>
      <c r="U13" s="4"/>
      <c r="V13" s="12">
        <v>800</v>
      </c>
      <c r="W13" s="12">
        <v>690</v>
      </c>
      <c r="X13">
        <v>110</v>
      </c>
      <c r="Y13">
        <f>ROUND(ReddNetto/T18,4)</f>
        <v>0</v>
      </c>
      <c r="AD13" s="77"/>
      <c r="AE13" s="235" t="s">
        <v>103</v>
      </c>
      <c r="AF13" s="236"/>
      <c r="AG13" s="23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44" ht="12.75">
      <c r="A14" s="129" t="s">
        <v>15</v>
      </c>
      <c r="B14" s="130"/>
      <c r="C14" s="130"/>
      <c r="D14" s="131"/>
      <c r="E14" s="126"/>
      <c r="F14" s="127"/>
      <c r="G14" s="128"/>
      <c r="H14" s="20"/>
      <c r="I14" s="20"/>
      <c r="J14" s="20"/>
      <c r="K14" s="20"/>
      <c r="L14" s="20"/>
      <c r="M14" s="20"/>
      <c r="N14" s="20"/>
      <c r="O14" s="20"/>
      <c r="P14" s="62"/>
      <c r="R14" s="14"/>
      <c r="S14" s="4" t="s">
        <v>36</v>
      </c>
      <c r="T14" s="12">
        <v>95000</v>
      </c>
      <c r="U14" s="4"/>
      <c r="V14" s="12">
        <v>800</v>
      </c>
      <c r="Y14">
        <f>ROUND((Coniuge-ReddNetto)/T37,4)</f>
        <v>2</v>
      </c>
      <c r="AD14" s="77"/>
      <c r="AE14" s="238"/>
      <c r="AF14" s="239"/>
      <c r="AG14" s="240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4" ht="13.5" thickBot="1">
      <c r="A15" s="129" t="s">
        <v>15</v>
      </c>
      <c r="B15" s="130"/>
      <c r="C15" s="130"/>
      <c r="D15" s="131"/>
      <c r="E15" s="126"/>
      <c r="F15" s="127"/>
      <c r="G15" s="128"/>
      <c r="H15" s="20"/>
      <c r="I15" s="20"/>
      <c r="J15" s="20"/>
      <c r="K15" s="20"/>
      <c r="L15" s="20"/>
      <c r="M15" s="20"/>
      <c r="N15" s="20"/>
      <c r="O15" s="20"/>
      <c r="P15" s="62"/>
      <c r="R15" s="14"/>
      <c r="S15" s="4" t="s">
        <v>37</v>
      </c>
      <c r="T15" s="12">
        <v>55000</v>
      </c>
      <c r="U15" s="4"/>
      <c r="V15" s="12">
        <v>1338</v>
      </c>
      <c r="AD15" s="77"/>
      <c r="AE15" s="241"/>
      <c r="AF15" s="242"/>
      <c r="AG15" s="243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</row>
    <row r="16" spans="1:44" ht="13.5" thickTop="1">
      <c r="A16" s="31" t="s">
        <v>17</v>
      </c>
      <c r="B16" s="28"/>
      <c r="C16" s="28"/>
      <c r="D16" s="32"/>
      <c r="E16" s="145">
        <f>SUM(E8:G15)</f>
        <v>0</v>
      </c>
      <c r="F16" s="164"/>
      <c r="G16" s="146"/>
      <c r="H16" s="20"/>
      <c r="I16" s="20"/>
      <c r="J16" s="20"/>
      <c r="K16" s="20"/>
      <c r="L16" s="20"/>
      <c r="M16" s="20"/>
      <c r="N16" s="20"/>
      <c r="O16" s="20"/>
      <c r="P16" s="62"/>
      <c r="R16" s="14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44" ht="17.25" customHeight="1" thickBot="1">
      <c r="A17" s="5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/>
      <c r="R17" s="14"/>
      <c r="S17" s="4" t="s">
        <v>40</v>
      </c>
      <c r="T17" s="12" t="s">
        <v>41</v>
      </c>
      <c r="V17" s="18" t="s">
        <v>47</v>
      </c>
      <c r="W17" s="18" t="s">
        <v>42</v>
      </c>
      <c r="Y17">
        <f>IF(Z17&gt;0,1,0)</f>
        <v>0</v>
      </c>
      <c r="AA17">
        <v>700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4" ht="16.5" customHeight="1" hidden="1" thickBot="1">
      <c r="A18" s="79"/>
      <c r="B18" s="25"/>
      <c r="C18" s="25"/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  <c r="P18" s="62"/>
      <c r="S18" s="109" t="s">
        <v>35</v>
      </c>
      <c r="T18" s="109">
        <v>15000</v>
      </c>
      <c r="V18" s="16">
        <v>0</v>
      </c>
      <c r="W18" s="15">
        <v>0</v>
      </c>
      <c r="Y18">
        <f>IF(Z18&gt;0,1,0)</f>
        <v>0</v>
      </c>
      <c r="AA18">
        <v>500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ht="15.75">
      <c r="A19" s="191" t="s">
        <v>69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  <c r="S19" s="109"/>
      <c r="T19" s="109"/>
      <c r="V19" s="16"/>
      <c r="W19" s="15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4" ht="12.75">
      <c r="A20" s="182" t="s">
        <v>35</v>
      </c>
      <c r="B20" s="182"/>
      <c r="C20" s="182"/>
      <c r="D20" s="2"/>
      <c r="E20" s="25"/>
      <c r="F20" s="63" t="str">
        <f>IF(CNG="Si","Mesi a carico",Vuota1)</f>
        <v>        </v>
      </c>
      <c r="G20" s="63"/>
      <c r="H20" s="63"/>
      <c r="I20" s="45"/>
      <c r="J20" s="20"/>
      <c r="K20" s="20"/>
      <c r="L20" s="20"/>
      <c r="M20" s="20"/>
      <c r="N20" s="20"/>
      <c r="O20" s="20"/>
      <c r="P20" s="62"/>
      <c r="S20" s="109"/>
      <c r="T20" s="109"/>
      <c r="V20" s="16"/>
      <c r="W20" s="15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4" ht="12.75">
      <c r="A21" s="64"/>
      <c r="B21" s="63"/>
      <c r="C21" s="48"/>
      <c r="D21" s="20"/>
      <c r="E21" s="25"/>
      <c r="F21" s="63"/>
      <c r="G21" s="63"/>
      <c r="H21" s="63"/>
      <c r="I21" s="20"/>
      <c r="J21" s="20"/>
      <c r="K21" s="20"/>
      <c r="L21" s="20"/>
      <c r="M21" s="20"/>
      <c r="N21" s="20"/>
      <c r="O21" s="20"/>
      <c r="P21" s="62"/>
      <c r="S21" s="109"/>
      <c r="T21" s="109"/>
      <c r="V21" s="16"/>
      <c r="W21" s="15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ht="12.75">
      <c r="A22" s="54" t="s">
        <v>70</v>
      </c>
      <c r="B22" s="55"/>
      <c r="C22" s="56"/>
      <c r="D22" s="49"/>
      <c r="E22" s="20"/>
      <c r="F22" s="63" t="str">
        <f>IF(N_Fgl&gt;0,"Se il 1° figlio è in assenza del coniuge barrare la casella &gt;&gt;&gt;&gt;",Vuota1)</f>
        <v>        </v>
      </c>
      <c r="G22" s="63"/>
      <c r="H22" s="63"/>
      <c r="I22" s="20"/>
      <c r="J22" s="25"/>
      <c r="K22" s="20"/>
      <c r="L22" s="20"/>
      <c r="M22" s="20"/>
      <c r="N22" s="43"/>
      <c r="O22" s="63" t="str">
        <f>IF(N22&gt;0,"Mesi a carico",Vuota1)</f>
        <v>        </v>
      </c>
      <c r="P22" s="65"/>
      <c r="S22" s="109"/>
      <c r="T22" s="109"/>
      <c r="V22" s="16"/>
      <c r="W22" s="15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44" ht="12.75" customHeight="1">
      <c r="A23" s="47"/>
      <c r="B23" s="175" t="s">
        <v>67</v>
      </c>
      <c r="C23" s="176"/>
      <c r="D23" s="177"/>
      <c r="E23" s="178" t="s">
        <v>68</v>
      </c>
      <c r="F23" s="179"/>
      <c r="G23" s="177"/>
      <c r="H23" s="178" t="s">
        <v>61</v>
      </c>
      <c r="I23" s="179"/>
      <c r="J23" s="177"/>
      <c r="K23" s="42" t="s">
        <v>83</v>
      </c>
      <c r="L23" s="63"/>
      <c r="M23" s="20"/>
      <c r="N23" s="20"/>
      <c r="O23" s="20"/>
      <c r="P23" s="62"/>
      <c r="S23" s="109"/>
      <c r="T23" s="109"/>
      <c r="V23" s="16"/>
      <c r="W23" s="15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</row>
    <row r="24" spans="1:44" ht="12.75">
      <c r="A24" s="64" t="str">
        <f>IF(N_Fgl&gt;0,"1° figlio",Vuota1)</f>
        <v>        </v>
      </c>
      <c r="B24" s="63"/>
      <c r="C24" s="43"/>
      <c r="D24" s="63"/>
      <c r="E24" s="63"/>
      <c r="F24" s="43"/>
      <c r="G24" s="63"/>
      <c r="H24" s="63"/>
      <c r="I24" s="43"/>
      <c r="J24" s="63"/>
      <c r="K24" s="43"/>
      <c r="L24" s="66" t="str">
        <f>IF(K24&gt;0,IF(N_Fgl&gt;0,IF(P22=12,R26,ROUND(dsfig/12*(K24-P22)*Perc,5)+IF(F25&gt;0,ROUND((dsfg3/12*(K24-P22)-dsfig)*Perc,5),0)+IF(I25&gt;0,ROUND(dsfhc/12*(K24-P22)*Perc,5),0)+IF(P22&gt;0,R26,0)),Vuota1),Vuota1)</f>
        <v>        </v>
      </c>
      <c r="M24" s="183" t="s">
        <v>72</v>
      </c>
      <c r="N24" s="184"/>
      <c r="O24" s="185"/>
      <c r="P24" s="172">
        <v>0.5</v>
      </c>
      <c r="R24" s="14">
        <f>ROUND(dsfig/12*$K$24,5)+IF($F$24&gt;0,ROUND(dsfg3/12*$K$24-dsfig,5),0)+IF($I$24&gt;0,ROUND(dsfhc/12*$K$24,5),0)</f>
        <v>0</v>
      </c>
      <c r="S24" s="109"/>
      <c r="T24" s="109"/>
      <c r="V24" s="16"/>
      <c r="W24" s="15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</row>
    <row r="25" spans="1:44" ht="12.75">
      <c r="A25" s="64" t="str">
        <f>IF(N_Fgl&gt;1,"2° figlio"," ")</f>
        <v> </v>
      </c>
      <c r="B25" s="63"/>
      <c r="C25" s="43"/>
      <c r="D25" s="63"/>
      <c r="E25" s="63"/>
      <c r="F25" s="43"/>
      <c r="G25" s="63"/>
      <c r="H25" s="63"/>
      <c r="I25" s="43"/>
      <c r="J25" s="63"/>
      <c r="K25" s="43"/>
      <c r="L25" s="66" t="str">
        <f>IF(K25&gt;0,IF(N_Fgl&gt;1,ROUND(dsfig/12*K25*Perc,5)+IF(F25&gt;0,ROUND((dsfg3/12*K25-dsfig)*Perc,5),0)+IF(I25&gt;0,ROUND(dsfhc/12*K25*Perc,5),0),Vuota1),Vuota1)</f>
        <v>        </v>
      </c>
      <c r="M25" s="186"/>
      <c r="N25" s="110"/>
      <c r="O25" s="187"/>
      <c r="P25" s="173"/>
      <c r="S25" s="109"/>
      <c r="T25" s="109"/>
      <c r="V25" s="16"/>
      <c r="W25" s="15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</row>
    <row r="26" spans="1:44" ht="12.75">
      <c r="A26" s="64" t="str">
        <f>IF(N_Fgl&gt;2,"3°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43"/>
      <c r="L26" s="66" t="str">
        <f>IF(K26&gt;0,IF(N_Fgl&gt;2,ROUND(dsfig/12*K26*Perc,5)+IF(F26&gt;0,ROUND((dsfg3/12*K26-dsfig)*Perc,5),0)+IF(I26&gt;0,ROUND(dsfhc/12*K26*Perc,5),0),Vuota1),Vuota1)</f>
        <v>        </v>
      </c>
      <c r="M26" s="188"/>
      <c r="N26" s="189"/>
      <c r="O26" s="190"/>
      <c r="P26" s="174"/>
      <c r="R26" s="14">
        <f>IF($N$22&gt;0,IF($R$24&gt;Cng_nn,ROUND($R$24/12*P22,5),ROUND(Cng_nn/12*$P$22,5)),R24)</f>
        <v>0</v>
      </c>
      <c r="S26" s="109"/>
      <c r="T26" s="109"/>
      <c r="V26" s="16"/>
      <c r="W26" s="15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</row>
    <row r="27" spans="1:44" ht="12.75">
      <c r="A27" s="64" t="str">
        <f>IF(N_Fgl&gt;3,"4°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43"/>
      <c r="L27" s="66" t="str">
        <f>IF(K27&gt;0,IF(N_Fgl&gt;3,ROUND(dsfig/12*K27*Perc,5)+IF(F27&gt;0,ROUND((dsfg3/12*K27-dsfig)*Perc,5),0)+IF(I27&gt;0,ROUND(dsfhc/12*K27*Perc,5),0),Vuota1),Vuota1)</f>
        <v>        </v>
      </c>
      <c r="M27" s="20"/>
      <c r="N27" s="20"/>
      <c r="O27" s="20"/>
      <c r="P27" s="62"/>
      <c r="S27" s="109"/>
      <c r="T27" s="109"/>
      <c r="V27" s="16"/>
      <c r="W27" s="15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</row>
    <row r="28" spans="1:44" ht="12.75">
      <c r="A28" s="64" t="str">
        <f>IF(N_Fgl&gt;4,"5°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43"/>
      <c r="L28" s="66" t="str">
        <f>IF(K28&gt;0,IF(N_Fgl&gt;4,ROUND(dsfig/12*K28*Perc,5)+IF(F28&gt;0,ROUND((dsfg3/12*K28-dsfig)*Perc,5),0)+IF(I28&gt;0,ROUND(dsfhc/12*K28*Perc,5),0),Vuota1),Vuota1)</f>
        <v>        </v>
      </c>
      <c r="M28" s="20"/>
      <c r="N28" s="20"/>
      <c r="O28" s="20"/>
      <c r="P28" s="62"/>
      <c r="S28" s="109"/>
      <c r="T28" s="109"/>
      <c r="V28" s="16"/>
      <c r="W28" s="15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</row>
    <row r="29" spans="1:44" ht="12.75">
      <c r="A29" s="64" t="str">
        <f>IF(N_Fgl&gt;5,"6°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43"/>
      <c r="L29" s="66" t="str">
        <f>IF(K29&gt;0,IF(N_Fgl&gt;5,ROUND(dsfig/12*K29*Perc,5)+IF(F29&gt;0,ROUND((dsfg3/12*K29-dsfig)*Perc,5),0)+IF(I29&gt;0,ROUND(dsfhc/12*K29*Perc,5),0),Vuota1),Vuota1)</f>
        <v>        </v>
      </c>
      <c r="M29" s="20"/>
      <c r="N29" s="20"/>
      <c r="O29" s="20"/>
      <c r="P29" s="62"/>
      <c r="S29" s="109"/>
      <c r="T29" s="109"/>
      <c r="V29" s="16"/>
      <c r="W29" s="15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ht="12.75">
      <c r="A30" s="64" t="str">
        <f>IF(N_Fgl&gt;6,"7°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43"/>
      <c r="L30" s="66" t="str">
        <f>IF(K30&gt;0,IF(N_Fgl&gt;6,ROUND(dsfig/12*K30*Perc,5)+IF(F30&gt;0,ROUND((dsfg3/12*K30-dsfig)*Perc,5),0)+IF(I30&gt;0,ROUND(dsfhc/12*K30*Perc,5),0),Vuota1),Vuota1)</f>
        <v>        </v>
      </c>
      <c r="M30" s="20"/>
      <c r="N30" s="20"/>
      <c r="O30" s="20"/>
      <c r="P30" s="62"/>
      <c r="S30" s="109"/>
      <c r="T30" s="109"/>
      <c r="V30" s="16"/>
      <c r="W30" s="15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</row>
    <row r="31" spans="1:44" ht="12.75">
      <c r="A31" s="5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62"/>
      <c r="S31" s="109"/>
      <c r="T31" s="109"/>
      <c r="V31" s="16"/>
      <c r="W31" s="15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  <row r="32" spans="1:44" ht="12.75">
      <c r="A32" s="246" t="s">
        <v>89</v>
      </c>
      <c r="B32" s="247"/>
      <c r="C32" s="248"/>
      <c r="D32" s="2"/>
      <c r="E32" s="20"/>
      <c r="F32" s="63" t="str">
        <f>IF(D32&gt;0,"Mesi a carico",Vuota1)</f>
        <v>        </v>
      </c>
      <c r="G32" s="63"/>
      <c r="H32" s="63"/>
      <c r="I32" s="45"/>
      <c r="J32" s="20"/>
      <c r="K32" s="110" t="str">
        <f>IF(D32&gt;0,"Indicare il numero complessivo degli aventi diritto alla detrazione pro quota",Vuota1)</f>
        <v>        </v>
      </c>
      <c r="L32" s="136"/>
      <c r="M32" s="136"/>
      <c r="N32" s="136"/>
      <c r="O32" s="136"/>
      <c r="P32" s="180"/>
      <c r="S32" s="109"/>
      <c r="T32" s="109"/>
      <c r="V32" s="16"/>
      <c r="W32" s="15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</row>
    <row r="33" spans="1:44" ht="12.75">
      <c r="A33" s="80"/>
      <c r="B33" s="81"/>
      <c r="C33" s="81"/>
      <c r="D33" s="82"/>
      <c r="E33" s="20"/>
      <c r="F33" s="63"/>
      <c r="G33" s="63"/>
      <c r="H33" s="63"/>
      <c r="I33" s="45"/>
      <c r="J33" s="20"/>
      <c r="K33" s="137"/>
      <c r="L33" s="137"/>
      <c r="M33" s="137"/>
      <c r="N33" s="137"/>
      <c r="O33" s="137"/>
      <c r="P33" s="181"/>
      <c r="S33" s="109"/>
      <c r="T33" s="109"/>
      <c r="V33" s="16"/>
      <c r="W33" s="15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</row>
    <row r="34" spans="1:44" ht="12.75">
      <c r="A34" s="152" t="s">
        <v>73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4"/>
      <c r="S34" s="109"/>
      <c r="T34" s="109"/>
      <c r="V34" s="13">
        <v>0.0001</v>
      </c>
      <c r="W34">
        <f>ROUND(DetrConiuge-(Ind*Rapp),5)</f>
        <v>800</v>
      </c>
      <c r="Y34">
        <f>IF(Z34&gt;0,1,0)</f>
        <v>0</v>
      </c>
      <c r="AA34">
        <v>200</v>
      </c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</row>
    <row r="35" spans="1:44" ht="12.75">
      <c r="A35" s="169" t="s">
        <v>34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R35" s="112" t="s">
        <v>64</v>
      </c>
      <c r="S35" s="109"/>
      <c r="T35" s="109"/>
      <c r="V35" s="12">
        <v>1</v>
      </c>
      <c r="W35">
        <f>+DetrRid</f>
        <v>690</v>
      </c>
      <c r="Y35">
        <f>IF(Z35&gt;0,1,0)</f>
        <v>0</v>
      </c>
      <c r="AA35">
        <v>1500</v>
      </c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</row>
    <row r="36" spans="1:44" ht="12.75">
      <c r="A36" s="165" t="s">
        <v>21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3">
        <f>IF(CNG="SI",ROUND((VLOOKUP(ReddNetto,ConDetr,3)+VLOOKUP(ReddNetto,LettB,3))/12*Me_co,0),0)</f>
        <v>0</v>
      </c>
      <c r="N36" s="20"/>
      <c r="O36" s="20"/>
      <c r="P36" s="62"/>
      <c r="R36" s="112"/>
      <c r="S36" s="109"/>
      <c r="T36" s="109"/>
      <c r="V36" s="12">
        <v>10</v>
      </c>
      <c r="W36">
        <f>ROUND(DetrConiuge-(Ind*Rapp),2)</f>
        <v>800</v>
      </c>
      <c r="Y36">
        <f>SUM(Y17:Y35)</f>
        <v>0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1:44" ht="12.75">
      <c r="A37" s="165" t="s">
        <v>44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3">
        <f>ROUND(SUMIF(L24:L30,"&gt;0"),0)</f>
        <v>0</v>
      </c>
      <c r="N37" s="20"/>
      <c r="O37" s="20"/>
      <c r="P37" s="62"/>
      <c r="R37" s="22">
        <f>IF(Lordo&gt;0,ROUND((VLOOKUP(ReddNetto,ConDetr,3)+VLOOKUP(ReddNetto,LettB,3)),5),0)</f>
        <v>0</v>
      </c>
      <c r="S37" s="109"/>
      <c r="T37" s="12">
        <v>40000</v>
      </c>
      <c r="W37">
        <f>+DetrRid</f>
        <v>690</v>
      </c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</row>
    <row r="38" spans="1:44" ht="12.75">
      <c r="A38" s="165" t="s">
        <v>58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3">
        <f>IF(D32&gt;0,IF(P32&gt;0,ROUND(dsaltri*D32/12*I32/P32,0),0),0)</f>
        <v>0</v>
      </c>
      <c r="N38" s="20"/>
      <c r="O38" s="20"/>
      <c r="P38" s="62"/>
      <c r="S38" s="109"/>
      <c r="T38" s="109">
        <v>80000</v>
      </c>
      <c r="V38" s="16">
        <v>0</v>
      </c>
      <c r="W38">
        <v>0</v>
      </c>
      <c r="Z38">
        <f>IF(Y36&gt;0,IF(VLOOKUP(Z41,abi,2)&lt;DetrRid,DetrRid,VLOOKUP(Z41,abi,2)),0)</f>
        <v>0</v>
      </c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1:44" ht="12.7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4"/>
      <c r="R39" s="112" t="s">
        <v>65</v>
      </c>
      <c r="S39" s="109"/>
      <c r="T39" s="109"/>
      <c r="V39" s="13">
        <v>0.0001</v>
      </c>
      <c r="W39" s="14">
        <f>ROUND(DetrRid*Rap1,5)</f>
        <v>1380</v>
      </c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1:44" ht="12.75">
      <c r="A40" s="165" t="s">
        <v>79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">
        <f>SUM(M36:M38)</f>
        <v>0</v>
      </c>
      <c r="N40" s="20"/>
      <c r="O40" s="20"/>
      <c r="P40" s="62"/>
      <c r="R40" s="112"/>
      <c r="S40" s="109"/>
      <c r="T40" s="109"/>
      <c r="V40" s="12">
        <v>1</v>
      </c>
      <c r="W40" s="14">
        <f>ROUND(DetrRid*Rap1,5)</f>
        <v>1380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12.75">
      <c r="A41" s="152" t="s">
        <v>74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  <c r="R41" s="14">
        <f>dsfig+IF($F$24&gt;0,dsfg3-dsfig,0)+IF($I$24&gt;0,dsfhc,0)</f>
        <v>0</v>
      </c>
      <c r="S41" s="109"/>
      <c r="T41" s="109"/>
      <c r="V41" s="12">
        <v>10</v>
      </c>
      <c r="W41" s="14">
        <f>ROUND(DetrRid*Rap1,5)</f>
        <v>1380</v>
      </c>
      <c r="Z41" t="s">
        <v>60</v>
      </c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ht="12.75">
      <c r="A42" s="159" t="s">
        <v>76</v>
      </c>
      <c r="B42" s="160"/>
      <c r="C42" s="160"/>
      <c r="D42" s="160"/>
      <c r="E42" s="160"/>
      <c r="F42" s="161"/>
      <c r="G42" s="46" t="str">
        <f>IF(Lordo&gt;0,IF(G43&gt;0,Vuota1,"x"),Vuota1)</f>
        <v>        </v>
      </c>
      <c r="H42" s="63"/>
      <c r="I42" s="162" t="s">
        <v>78</v>
      </c>
      <c r="J42" s="162"/>
      <c r="K42" s="162"/>
      <c r="L42" s="163"/>
      <c r="M42" s="2">
        <v>12</v>
      </c>
      <c r="N42" s="20"/>
      <c r="O42" s="20"/>
      <c r="P42" s="62"/>
      <c r="S42" s="109"/>
      <c r="T42" s="14">
        <v>1000000000</v>
      </c>
      <c r="V42">
        <v>0</v>
      </c>
      <c r="W42">
        <v>0</v>
      </c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ht="12.75">
      <c r="A43" s="67" t="s">
        <v>77</v>
      </c>
      <c r="B43" s="68"/>
      <c r="C43" s="68"/>
      <c r="D43" s="68"/>
      <c r="E43" s="68"/>
      <c r="F43" s="20"/>
      <c r="G43" s="2"/>
      <c r="H43" s="63"/>
      <c r="I43" s="63"/>
      <c r="J43" s="63"/>
      <c r="K43" s="162" t="s">
        <v>80</v>
      </c>
      <c r="L43" s="162"/>
      <c r="M43" s="162"/>
      <c r="N43" s="163"/>
      <c r="O43" s="39">
        <f>ROUND(IF(Lordo&gt;0,IF(G43&gt;0,IF(ReddNetto&lt;8000.01,IF(R43&gt;R46,R43,R46),R43),IF(ReddNetto&lt;8000.01,IF(R43&gt;R45,R43,R45),R43)),0),0)</f>
        <v>0</v>
      </c>
      <c r="P43" s="62"/>
      <c r="R43">
        <f>IF(Lordo&gt;0,ROUND((VLOOKUP(ReddNetto,Altre_detraz,2)+VLOOKUP(ReddNetto,Aum_altre,2))/12*M42,5),0)</f>
        <v>0</v>
      </c>
      <c r="S43" s="109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2.75" customHeight="1" thickBot="1">
      <c r="A44" s="6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70"/>
      <c r="S44" s="109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44" ht="12.75" customHeight="1" thickBot="1">
      <c r="A45" s="71" t="s">
        <v>22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68">
        <f>+E16-L13</f>
        <v>0</v>
      </c>
      <c r="P45" s="168"/>
      <c r="R45" s="14">
        <v>690</v>
      </c>
      <c r="S45" s="109"/>
      <c r="T45" s="14">
        <v>0.001</v>
      </c>
      <c r="V45" s="14">
        <f>VLOOKUP(Rapp,quin,2)</f>
        <v>0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44" ht="12.75" customHeight="1" thickBot="1">
      <c r="A46" s="35" t="s">
        <v>62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49">
        <f>IF(Lordo&gt;0,ROUND((ReddNetto-VLOOKUP(ReddNetto,Aliquote,1))*VLOOKUP(ReddNetto,Aliquote,3),5)+VLOOKUP(ReddNetto,Aliquote,4),0)</f>
        <v>0</v>
      </c>
      <c r="P46" s="149"/>
      <c r="R46" s="14">
        <v>1380</v>
      </c>
      <c r="S46" s="109"/>
      <c r="T46" s="14">
        <v>15000</v>
      </c>
      <c r="V46" s="14">
        <f>+DetrRid</f>
        <v>690</v>
      </c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ht="13.5" thickBot="1">
      <c r="A47" s="37" t="s">
        <v>38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49">
        <f>+M40+O43</f>
        <v>0</v>
      </c>
      <c r="P47" s="149"/>
      <c r="S47" s="109"/>
      <c r="T47" s="14">
        <v>40000</v>
      </c>
      <c r="V47" s="14">
        <f>VLOOKUP(Rap1,ottan,2)</f>
        <v>1380</v>
      </c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ht="16.5" thickBot="1">
      <c r="A48" s="71" t="s">
        <v>63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47">
        <f>IF(O46-O47&gt;0,O46-O47,0)</f>
        <v>0</v>
      </c>
      <c r="P48" s="148"/>
      <c r="S48" s="109"/>
      <c r="T48" s="14">
        <v>80000</v>
      </c>
      <c r="V48" s="14">
        <v>0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:44" ht="12.75">
      <c r="A49" s="7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73"/>
      <c r="S49" s="109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 ht="12.75">
      <c r="A50" s="5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62"/>
      <c r="S50" s="109"/>
      <c r="T50" s="17">
        <v>0</v>
      </c>
      <c r="V50">
        <v>0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 ht="13.5">
      <c r="A51" s="155" t="s">
        <v>23</v>
      </c>
      <c r="B51" s="156"/>
      <c r="C51" s="156"/>
      <c r="D51" s="157"/>
      <c r="E51" s="150" t="s">
        <v>24</v>
      </c>
      <c r="F51" s="158"/>
      <c r="G51" s="151"/>
      <c r="H51" s="150" t="s">
        <v>25</v>
      </c>
      <c r="I51" s="158"/>
      <c r="J51" s="151"/>
      <c r="K51" s="150" t="s">
        <v>26</v>
      </c>
      <c r="L51" s="151"/>
      <c r="M51" s="52" t="s">
        <v>27</v>
      </c>
      <c r="N51" s="150" t="s">
        <v>28</v>
      </c>
      <c r="O51" s="151"/>
      <c r="P51" s="62"/>
      <c r="S51" s="109"/>
      <c r="T51" s="17">
        <v>29000.01</v>
      </c>
      <c r="V51">
        <v>10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ht="12.75">
      <c r="A52" s="150" t="s">
        <v>29</v>
      </c>
      <c r="B52" s="158"/>
      <c r="C52" s="158"/>
      <c r="D52" s="151"/>
      <c r="E52" s="53"/>
      <c r="F52" s="2">
        <v>1.4</v>
      </c>
      <c r="G52" s="53"/>
      <c r="H52" s="145">
        <f>+ReddNetto</f>
        <v>0</v>
      </c>
      <c r="I52" s="164"/>
      <c r="J52" s="146"/>
      <c r="K52" s="145">
        <f>ROUND(H52*F52%,5)</f>
        <v>0</v>
      </c>
      <c r="L52" s="146"/>
      <c r="M52" s="2">
        <v>11</v>
      </c>
      <c r="N52" s="145">
        <f>ROUND(K52/M52,5)</f>
        <v>0</v>
      </c>
      <c r="O52" s="146"/>
      <c r="P52" s="62"/>
      <c r="S52" s="109"/>
      <c r="T52" s="17">
        <v>29200.01</v>
      </c>
      <c r="V52">
        <v>20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4" ht="12.75">
      <c r="A53" s="150" t="s">
        <v>30</v>
      </c>
      <c r="B53" s="158"/>
      <c r="C53" s="158"/>
      <c r="D53" s="151"/>
      <c r="E53" s="53"/>
      <c r="F53" s="2">
        <v>0.4</v>
      </c>
      <c r="G53" s="53"/>
      <c r="H53" s="145">
        <f>+ReddNetto</f>
        <v>0</v>
      </c>
      <c r="I53" s="164"/>
      <c r="J53" s="146"/>
      <c r="K53" s="145">
        <f>ROUND(H53*F53%,5)</f>
        <v>0</v>
      </c>
      <c r="L53" s="146"/>
      <c r="M53" s="2">
        <v>11</v>
      </c>
      <c r="N53" s="145">
        <f>ROUND(K53/M53,5)</f>
        <v>0</v>
      </c>
      <c r="O53" s="146"/>
      <c r="P53" s="62"/>
      <c r="S53" s="109"/>
      <c r="T53" s="17">
        <v>34700.01</v>
      </c>
      <c r="V53">
        <v>30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:44" ht="12.75">
      <c r="A54" s="233" t="s">
        <v>90</v>
      </c>
      <c r="B54" s="233"/>
      <c r="C54" s="84">
        <v>16</v>
      </c>
      <c r="D54" s="233" t="s">
        <v>91</v>
      </c>
      <c r="E54" s="233"/>
      <c r="F54" s="233"/>
      <c r="G54" s="233"/>
      <c r="H54" s="234" t="s">
        <v>92</v>
      </c>
      <c r="I54" s="234"/>
      <c r="J54" s="88"/>
      <c r="K54" s="88"/>
      <c r="L54" s="88"/>
      <c r="M54" s="88"/>
      <c r="N54" s="88"/>
      <c r="O54" s="88"/>
      <c r="P54" s="62"/>
      <c r="S54" s="109"/>
      <c r="T54" s="17">
        <v>35000.01</v>
      </c>
      <c r="V54">
        <v>20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 ht="12.75">
      <c r="A55" s="47"/>
      <c r="B55" s="48"/>
      <c r="C55" s="43"/>
      <c r="D55" s="48"/>
      <c r="E55" s="48"/>
      <c r="F55" s="48"/>
      <c r="G55" s="48"/>
      <c r="H55" s="43"/>
      <c r="I55" s="43"/>
      <c r="J55" s="88"/>
      <c r="K55" s="88"/>
      <c r="L55" s="88"/>
      <c r="M55" s="88"/>
      <c r="N55" s="88"/>
      <c r="O55" s="88"/>
      <c r="P55" s="62"/>
      <c r="S55" s="109"/>
      <c r="T55" s="17">
        <v>35100.01</v>
      </c>
      <c r="V55">
        <v>10</v>
      </c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ht="12.75" customHeight="1">
      <c r="A56" s="145" t="s">
        <v>95</v>
      </c>
      <c r="B56" s="164"/>
      <c r="C56" s="146"/>
      <c r="D56" s="244">
        <f>ROUND(K53*30%,2)</f>
        <v>0</v>
      </c>
      <c r="E56" s="245"/>
      <c r="F56" s="2">
        <v>9</v>
      </c>
      <c r="G56" s="145">
        <f>ROUND(D56/F56,2)</f>
        <v>0</v>
      </c>
      <c r="H56" s="146"/>
      <c r="I56" s="20"/>
      <c r="J56" s="20"/>
      <c r="K56" s="20"/>
      <c r="L56" s="20"/>
      <c r="M56" s="20"/>
      <c r="N56" s="20"/>
      <c r="O56" s="20"/>
      <c r="P56" s="62"/>
      <c r="S56" s="109"/>
      <c r="T56" s="17">
        <v>35200.01</v>
      </c>
      <c r="V56">
        <v>0</v>
      </c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:44" ht="12.75">
      <c r="A57" s="175" t="s">
        <v>96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232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9:23" ht="12.75">
      <c r="S58" t="s">
        <v>48</v>
      </c>
      <c r="T58" s="19" t="s">
        <v>49</v>
      </c>
      <c r="U58" s="141" t="s">
        <v>54</v>
      </c>
      <c r="V58" s="18" t="s">
        <v>50</v>
      </c>
      <c r="W58" s="18" t="s">
        <v>55</v>
      </c>
    </row>
    <row r="59" spans="20:23" ht="12.75">
      <c r="T59" s="17">
        <v>95000</v>
      </c>
      <c r="U59" s="141"/>
      <c r="V59" s="14">
        <v>15000</v>
      </c>
      <c r="W59" s="14">
        <f>IF(U60&gt;1,ROUND((U60-1)*V59,2)+T59,T59)</f>
        <v>95000</v>
      </c>
    </row>
    <row r="60" spans="20:25" ht="12.75">
      <c r="T60" s="18" t="s">
        <v>57</v>
      </c>
      <c r="U60">
        <f>+N_Fgl</f>
        <v>0</v>
      </c>
      <c r="V60" s="18" t="s">
        <v>56</v>
      </c>
      <c r="W60" s="18" t="s">
        <v>47</v>
      </c>
      <c r="X60" s="18"/>
      <c r="Y60" s="18" t="s">
        <v>43</v>
      </c>
    </row>
    <row r="61" spans="19:28" ht="12.75">
      <c r="S61" t="s">
        <v>53</v>
      </c>
      <c r="T61" s="14">
        <f>IF(Som_fg&gt;3,1000,800)</f>
        <v>800</v>
      </c>
      <c r="V61" s="14">
        <f>ROUND(fgl*VLOOKUP($Y$61,IndRapp,2),5)</f>
        <v>0</v>
      </c>
      <c r="W61" s="16">
        <v>0</v>
      </c>
      <c r="X61">
        <v>0</v>
      </c>
      <c r="Y61" s="83">
        <f>ROUND((ImFisFin-ReddNetto)/ImFisFin,6)</f>
        <v>1</v>
      </c>
      <c r="AA61" s="14">
        <f>+dsfig</f>
        <v>0</v>
      </c>
      <c r="AB61" s="14">
        <f>+AA61</f>
        <v>0</v>
      </c>
    </row>
    <row r="62" spans="19:28" ht="12.75">
      <c r="S62" t="s">
        <v>51</v>
      </c>
      <c r="T62" s="14">
        <f>IF(Som_fg&gt;3,1100,900)</f>
        <v>900</v>
      </c>
      <c r="V62" s="14">
        <f>ROUND(T62*VLOOKUP($Y$61,IndRapp,2),5)</f>
        <v>0</v>
      </c>
      <c r="W62" s="13">
        <v>0.0001</v>
      </c>
      <c r="X62">
        <f>+Y61</f>
        <v>1</v>
      </c>
      <c r="AA62" s="14">
        <f>+dsfg3</f>
        <v>0</v>
      </c>
      <c r="AB62" s="14">
        <f>+AA62</f>
        <v>0</v>
      </c>
    </row>
    <row r="63" spans="19:28" ht="12.75">
      <c r="S63" t="s">
        <v>52</v>
      </c>
      <c r="T63" s="14">
        <v>220</v>
      </c>
      <c r="V63" s="14">
        <f>ROUND(fglh*VLOOKUP($Y$61,IndRapp,2),5)</f>
        <v>0</v>
      </c>
      <c r="W63" s="12">
        <v>1</v>
      </c>
      <c r="X63">
        <v>0</v>
      </c>
      <c r="AA63" s="14">
        <f>+dsfhc</f>
        <v>0</v>
      </c>
      <c r="AB63" s="14">
        <f>+AA63</f>
        <v>0</v>
      </c>
    </row>
    <row r="64" spans="22:24" ht="12.75">
      <c r="V64" s="14"/>
      <c r="W64" s="12">
        <v>10</v>
      </c>
      <c r="X64">
        <f>+Y61</f>
        <v>1</v>
      </c>
    </row>
    <row r="65" spans="19:22" ht="12.75">
      <c r="S65" t="s">
        <v>59</v>
      </c>
      <c r="T65">
        <v>750</v>
      </c>
      <c r="V65" s="14">
        <f>ROUND(Altri*VLOOKUP(Y66,Rapp_Altri,2),5)</f>
        <v>0</v>
      </c>
    </row>
    <row r="66" ht="12.75">
      <c r="Y66" s="83">
        <f>ROUND((80000-ReddNetto)/80000,6)</f>
        <v>1</v>
      </c>
    </row>
    <row r="67" spans="19:25" ht="12.75">
      <c r="S67" t="s">
        <v>75</v>
      </c>
      <c r="V67" t="s">
        <v>43</v>
      </c>
      <c r="X67" s="16">
        <v>0</v>
      </c>
      <c r="Y67">
        <v>0</v>
      </c>
    </row>
    <row r="68" spans="19:25" ht="12.75">
      <c r="S68" s="14">
        <v>1</v>
      </c>
      <c r="T68" s="14">
        <v>1840</v>
      </c>
      <c r="V68" s="83">
        <f>IF(ROUND((15000-ReddNetto)/7000,6)&gt;0,ROUND((15000-ReddNetto)/7000,6),0)</f>
        <v>2.142857</v>
      </c>
      <c r="X68" s="13">
        <v>0.0001</v>
      </c>
      <c r="Y68" s="83">
        <f>+Y66</f>
        <v>1</v>
      </c>
    </row>
    <row r="69" spans="19:25" ht="12.75">
      <c r="S69" s="14">
        <v>8000.01</v>
      </c>
      <c r="T69" s="14">
        <f>1338+ROUND(502*V68,2)</f>
        <v>2413.71</v>
      </c>
      <c r="V69">
        <f>ROUND((55000-ReddNetto)/40000,5)</f>
        <v>1.375</v>
      </c>
      <c r="X69" s="12">
        <v>1</v>
      </c>
      <c r="Y69">
        <v>0</v>
      </c>
    </row>
    <row r="70" spans="19:25" ht="12.75">
      <c r="S70" s="14">
        <v>15000.01</v>
      </c>
      <c r="T70" s="14">
        <f>ROUND(1338*V69,2)</f>
        <v>1839.75</v>
      </c>
      <c r="X70" s="12">
        <v>10</v>
      </c>
      <c r="Y70" s="83">
        <f>+Y66</f>
        <v>1</v>
      </c>
    </row>
    <row r="71" spans="19:25" ht="12.75">
      <c r="S71" s="14">
        <v>55000.01</v>
      </c>
      <c r="T71" s="14">
        <v>0</v>
      </c>
      <c r="X71" s="12"/>
      <c r="Y71" s="83"/>
    </row>
    <row r="72" spans="19:20" ht="12.75">
      <c r="S72" s="14">
        <v>100000000</v>
      </c>
      <c r="T72" s="14">
        <v>0</v>
      </c>
    </row>
    <row r="74" spans="19:20" ht="12.75">
      <c r="S74" s="17">
        <v>0</v>
      </c>
      <c r="T74">
        <v>0</v>
      </c>
    </row>
    <row r="75" spans="19:20" ht="12.75">
      <c r="S75" s="17">
        <v>23000.01</v>
      </c>
      <c r="T75">
        <v>10</v>
      </c>
    </row>
    <row r="76" spans="19:20" ht="12.75">
      <c r="S76" s="17">
        <v>24000.01</v>
      </c>
      <c r="T76">
        <v>20</v>
      </c>
    </row>
    <row r="77" spans="19:20" ht="12.75">
      <c r="S77" s="17">
        <v>25000.01</v>
      </c>
      <c r="T77">
        <v>30</v>
      </c>
    </row>
    <row r="78" spans="19:20" ht="12.75">
      <c r="S78" s="17">
        <v>26000.01</v>
      </c>
      <c r="T78">
        <v>40</v>
      </c>
    </row>
    <row r="79" spans="19:20" ht="12.75">
      <c r="S79" s="17">
        <v>27700.01</v>
      </c>
      <c r="T79">
        <v>25</v>
      </c>
    </row>
    <row r="80" spans="19:20" ht="12.75">
      <c r="S80" s="17">
        <v>28000.01</v>
      </c>
      <c r="T80">
        <v>0</v>
      </c>
    </row>
  </sheetData>
  <sheetProtection password="BE24" sheet="1" objects="1" scenarios="1" selectLockedCells="1"/>
  <mergeCells count="89">
    <mergeCell ref="AE13:AG15"/>
    <mergeCell ref="A56:C56"/>
    <mergeCell ref="D56:E56"/>
    <mergeCell ref="G56:H56"/>
    <mergeCell ref="E14:G14"/>
    <mergeCell ref="H53:J53"/>
    <mergeCell ref="E16:G16"/>
    <mergeCell ref="A37:L37"/>
    <mergeCell ref="A36:L36"/>
    <mergeCell ref="A32:C32"/>
    <mergeCell ref="A57:P57"/>
    <mergeCell ref="A54:B54"/>
    <mergeCell ref="D54:G54"/>
    <mergeCell ref="H54:I54"/>
    <mergeCell ref="A6:B6"/>
    <mergeCell ref="E13:G13"/>
    <mergeCell ref="H10:K10"/>
    <mergeCell ref="H13:K13"/>
    <mergeCell ref="H7:L7"/>
    <mergeCell ref="H8:K8"/>
    <mergeCell ref="C6:G6"/>
    <mergeCell ref="I6:K6"/>
    <mergeCell ref="H12:K12"/>
    <mergeCell ref="AE1:AG2"/>
    <mergeCell ref="AE7:AG11"/>
    <mergeCell ref="AE4:AG4"/>
    <mergeCell ref="AE5:AG5"/>
    <mergeCell ref="AE3:AG3"/>
    <mergeCell ref="A20:C20"/>
    <mergeCell ref="M24:O26"/>
    <mergeCell ref="A7:G7"/>
    <mergeCell ref="A19:P19"/>
    <mergeCell ref="E10:G10"/>
    <mergeCell ref="E11:G11"/>
    <mergeCell ref="E12:G12"/>
    <mergeCell ref="H9:K9"/>
    <mergeCell ref="E9:G9"/>
    <mergeCell ref="E8:G8"/>
    <mergeCell ref="A35:P35"/>
    <mergeCell ref="P24:P26"/>
    <mergeCell ref="B23:D23"/>
    <mergeCell ref="E23:G23"/>
    <mergeCell ref="H23:J23"/>
    <mergeCell ref="A34:P34"/>
    <mergeCell ref="P32:P33"/>
    <mergeCell ref="A38:L38"/>
    <mergeCell ref="N51:O51"/>
    <mergeCell ref="O47:P47"/>
    <mergeCell ref="O45:P45"/>
    <mergeCell ref="I42:L42"/>
    <mergeCell ref="A40:L40"/>
    <mergeCell ref="A53:D53"/>
    <mergeCell ref="A42:F42"/>
    <mergeCell ref="K43:N43"/>
    <mergeCell ref="H51:J51"/>
    <mergeCell ref="K52:L52"/>
    <mergeCell ref="H52:J52"/>
    <mergeCell ref="E51:G51"/>
    <mergeCell ref="A52:D52"/>
    <mergeCell ref="U58:U59"/>
    <mergeCell ref="A39:P39"/>
    <mergeCell ref="K53:L53"/>
    <mergeCell ref="O48:P48"/>
    <mergeCell ref="O46:P46"/>
    <mergeCell ref="K51:L51"/>
    <mergeCell ref="N52:O52"/>
    <mergeCell ref="N53:O53"/>
    <mergeCell ref="A41:P41"/>
    <mergeCell ref="A51:D51"/>
    <mergeCell ref="M6:P6"/>
    <mergeCell ref="R35:R36"/>
    <mergeCell ref="R39:R40"/>
    <mergeCell ref="S1:V1"/>
    <mergeCell ref="S12:W12"/>
    <mergeCell ref="S18:S56"/>
    <mergeCell ref="T18:T36"/>
    <mergeCell ref="T38:T41"/>
    <mergeCell ref="K32:O33"/>
    <mergeCell ref="N5:P5"/>
    <mergeCell ref="A1:P1"/>
    <mergeCell ref="A2:P2"/>
    <mergeCell ref="A3:P3"/>
    <mergeCell ref="D5:I5"/>
    <mergeCell ref="J5:L5"/>
    <mergeCell ref="J4:K4"/>
    <mergeCell ref="E15:G15"/>
    <mergeCell ref="A14:D14"/>
    <mergeCell ref="H11:K11"/>
    <mergeCell ref="A15:D15"/>
  </mergeCells>
  <conditionalFormatting sqref="J26">
    <cfRule type="expression" priority="1" dxfId="0" stopIfTrue="1">
      <formula>$D$22&gt;2</formula>
    </cfRule>
  </conditionalFormatting>
  <conditionalFormatting sqref="J27">
    <cfRule type="expression" priority="2" dxfId="0" stopIfTrue="1">
      <formula>$D$22&gt;3</formula>
    </cfRule>
  </conditionalFormatting>
  <conditionalFormatting sqref="J28">
    <cfRule type="expression" priority="3" dxfId="0" stopIfTrue="1">
      <formula>$D$22&gt;4</formula>
    </cfRule>
  </conditionalFormatting>
  <conditionalFormatting sqref="J29">
    <cfRule type="expression" priority="4" dxfId="0" stopIfTrue="1">
      <formula>$D$22&gt;5</formula>
    </cfRule>
  </conditionalFormatting>
  <conditionalFormatting sqref="J30">
    <cfRule type="expression" priority="5" dxfId="0" stopIfTrue="1">
      <formula>$D$22&gt;6</formula>
    </cfRule>
  </conditionalFormatting>
  <conditionalFormatting sqref="L24">
    <cfRule type="expression" priority="6" dxfId="1" stopIfTrue="1">
      <formula>$D$22&gt;0</formula>
    </cfRule>
  </conditionalFormatting>
  <conditionalFormatting sqref="L25">
    <cfRule type="expression" priority="7" dxfId="1" stopIfTrue="1">
      <formula>$D$22&gt;1</formula>
    </cfRule>
  </conditionalFormatting>
  <conditionalFormatting sqref="L26">
    <cfRule type="expression" priority="8" dxfId="1" stopIfTrue="1">
      <formula>$D$22&gt;2</formula>
    </cfRule>
  </conditionalFormatting>
  <conditionalFormatting sqref="L27">
    <cfRule type="expression" priority="9" dxfId="1" stopIfTrue="1">
      <formula>$D$22&gt;3</formula>
    </cfRule>
  </conditionalFormatting>
  <conditionalFormatting sqref="L28">
    <cfRule type="expression" priority="10" dxfId="1" stopIfTrue="1">
      <formula>$D$22&gt;4</formula>
    </cfRule>
  </conditionalFormatting>
  <conditionalFormatting sqref="L29">
    <cfRule type="expression" priority="11" dxfId="1" stopIfTrue="1">
      <formula>$D$22&gt;5</formula>
    </cfRule>
  </conditionalFormatting>
  <conditionalFormatting sqref="L30">
    <cfRule type="expression" priority="12" dxfId="1" stopIfTrue="1">
      <formula>$D$22&gt;6</formula>
    </cfRule>
  </conditionalFormatting>
  <conditionalFormatting sqref="A25">
    <cfRule type="expression" priority="13" dxfId="2" stopIfTrue="1">
      <formula>$D$22&gt;1</formula>
    </cfRule>
  </conditionalFormatting>
  <conditionalFormatting sqref="A24 D24 G24 J24">
    <cfRule type="expression" priority="14" dxfId="2" stopIfTrue="1">
      <formula>$D$22&gt;0</formula>
    </cfRule>
  </conditionalFormatting>
  <conditionalFormatting sqref="B24">
    <cfRule type="expression" priority="15" dxfId="3" stopIfTrue="1">
      <formula>$D$22&gt;0</formula>
    </cfRule>
  </conditionalFormatting>
  <conditionalFormatting sqref="E24 H24">
    <cfRule type="expression" priority="16" dxfId="4" stopIfTrue="1">
      <formula>$D$22&gt;0</formula>
    </cfRule>
  </conditionalFormatting>
  <conditionalFormatting sqref="I20">
    <cfRule type="expression" priority="17" dxfId="5" stopIfTrue="1">
      <formula>$D$20="si"</formula>
    </cfRule>
  </conditionalFormatting>
  <conditionalFormatting sqref="N22 C24 F24 I24 K24">
    <cfRule type="expression" priority="18" dxfId="5" stopIfTrue="1">
      <formula>$D$22&gt;0</formula>
    </cfRule>
  </conditionalFormatting>
  <conditionalFormatting sqref="P22">
    <cfRule type="expression" priority="19" dxfId="5" stopIfTrue="1">
      <formula>$N$22&gt;0</formula>
    </cfRule>
  </conditionalFormatting>
  <conditionalFormatting sqref="C25 F25 I25 K25">
    <cfRule type="expression" priority="20" dxfId="5" stopIfTrue="1">
      <formula>$D$22&gt;1</formula>
    </cfRule>
  </conditionalFormatting>
  <conditionalFormatting sqref="C26 F26 I26 K26">
    <cfRule type="expression" priority="21" dxfId="5" stopIfTrue="1">
      <formula>$D$22&gt;2</formula>
    </cfRule>
  </conditionalFormatting>
  <conditionalFormatting sqref="C27 F27 I27 K27">
    <cfRule type="expression" priority="22" dxfId="5" stopIfTrue="1">
      <formula>$D$22&gt;3</formula>
    </cfRule>
  </conditionalFormatting>
  <conditionalFormatting sqref="C28 F28 I28 K28">
    <cfRule type="expression" priority="23" dxfId="5" stopIfTrue="1">
      <formula>$D$22&gt;4</formula>
    </cfRule>
  </conditionalFormatting>
  <conditionalFormatting sqref="C29 F29 I29 K29">
    <cfRule type="expression" priority="24" dxfId="5" stopIfTrue="1">
      <formula>$D$22&gt;5</formula>
    </cfRule>
  </conditionalFormatting>
  <conditionalFormatting sqref="C30 F30 I30 K30">
    <cfRule type="expression" priority="25" dxfId="5" stopIfTrue="1">
      <formula>$D$22&gt;6</formula>
    </cfRule>
  </conditionalFormatting>
  <conditionalFormatting sqref="I33">
    <cfRule type="expression" priority="26" dxfId="5" stopIfTrue="1">
      <formula>$D$32="si"</formula>
    </cfRule>
  </conditionalFormatting>
  <conditionalFormatting sqref="I32 P32:P33">
    <cfRule type="expression" priority="27" dxfId="5" stopIfTrue="1">
      <formula>$D$32&gt;0</formula>
    </cfRule>
  </conditionalFormatting>
  <conditionalFormatting sqref="K32:O33">
    <cfRule type="expression" priority="28" dxfId="1" stopIfTrue="1">
      <formula>$D$32&gt;0</formula>
    </cfRule>
  </conditionalFormatting>
  <conditionalFormatting sqref="B25 D25:E25 G25:H25 J25">
    <cfRule type="expression" priority="29" dxfId="3" stopIfTrue="1">
      <formula>$D$22&gt;1</formula>
    </cfRule>
  </conditionalFormatting>
  <conditionalFormatting sqref="B26 D26:E26 G26:H26">
    <cfRule type="expression" priority="30" dxfId="3" stopIfTrue="1">
      <formula>$D$22&gt;2</formula>
    </cfRule>
  </conditionalFormatting>
  <conditionalFormatting sqref="A26">
    <cfRule type="expression" priority="31" dxfId="2" stopIfTrue="1">
      <formula>$D$22&gt;2</formula>
    </cfRule>
  </conditionalFormatting>
  <conditionalFormatting sqref="A27">
    <cfRule type="expression" priority="32" dxfId="2" stopIfTrue="1">
      <formula>$D$22&gt;3</formula>
    </cfRule>
  </conditionalFormatting>
  <conditionalFormatting sqref="B27 D27:E27 G27:H27">
    <cfRule type="expression" priority="33" dxfId="3" stopIfTrue="1">
      <formula>$D$22&gt;3</formula>
    </cfRule>
  </conditionalFormatting>
  <conditionalFormatting sqref="A28">
    <cfRule type="expression" priority="34" dxfId="2" stopIfTrue="1">
      <formula>$D$22&gt;4</formula>
    </cfRule>
  </conditionalFormatting>
  <conditionalFormatting sqref="B28 D28:E28 G28:H28">
    <cfRule type="expression" priority="35" dxfId="3" stopIfTrue="1">
      <formula>$D$22&gt;4</formula>
    </cfRule>
  </conditionalFormatting>
  <conditionalFormatting sqref="A29">
    <cfRule type="expression" priority="36" dxfId="2" stopIfTrue="1">
      <formula>$D$22&gt;5</formula>
    </cfRule>
  </conditionalFormatting>
  <conditionalFormatting sqref="B29 D29:E29 G29:H29">
    <cfRule type="expression" priority="37" dxfId="3" stopIfTrue="1">
      <formula>$D$22&gt;5</formula>
    </cfRule>
  </conditionalFormatting>
  <conditionalFormatting sqref="A30">
    <cfRule type="expression" priority="38" dxfId="2" stopIfTrue="1">
      <formula>$D$22&gt;6</formula>
    </cfRule>
  </conditionalFormatting>
  <conditionalFormatting sqref="B30 D30:E30 G30:H30">
    <cfRule type="expression" priority="39" dxfId="3" stopIfTrue="1">
      <formula>$D$22&gt;6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G123"/>
  <sheetViews>
    <sheetView workbookViewId="0" topLeftCell="A1">
      <selection activeCell="A2" sqref="A2:P2"/>
    </sheetView>
  </sheetViews>
  <sheetFormatPr defaultColWidth="9.33203125" defaultRowHeight="12.75"/>
  <cols>
    <col min="1" max="1" width="15.5" style="0" customWidth="1"/>
    <col min="2" max="10" width="4.83203125" style="0" customWidth="1"/>
    <col min="11" max="11" width="11.66015625" style="0" bestFit="1" customWidth="1"/>
    <col min="12" max="13" width="11.83203125" style="0" customWidth="1"/>
    <col min="14" max="14" width="4.83203125" style="0" customWidth="1"/>
    <col min="15" max="15" width="12.83203125" style="0" customWidth="1"/>
    <col min="16" max="16" width="9.16015625" style="0" customWidth="1"/>
    <col min="17" max="17" width="15.5" style="0" hidden="1" customWidth="1"/>
    <col min="18" max="26" width="4.83203125" style="0" hidden="1" customWidth="1"/>
    <col min="27" max="27" width="11.66015625" style="0" hidden="1" customWidth="1"/>
    <col min="28" max="29" width="11.83203125" style="0" hidden="1" customWidth="1"/>
    <col min="30" max="30" width="4.83203125" style="0" hidden="1" customWidth="1"/>
    <col min="31" max="31" width="12.83203125" style="0" hidden="1" customWidth="1"/>
    <col min="32" max="32" width="9.16015625" style="0" hidden="1" customWidth="1"/>
    <col min="33" max="33" width="5.16015625" style="0" hidden="1" customWidth="1"/>
    <col min="34" max="34" width="10.5" style="0" hidden="1" customWidth="1"/>
    <col min="35" max="35" width="15.16015625" style="0" hidden="1" customWidth="1"/>
    <col min="36" max="36" width="16.83203125" style="0" hidden="1" customWidth="1"/>
    <col min="37" max="37" width="6.66015625" style="0" hidden="1" customWidth="1"/>
    <col min="38" max="38" width="12.83203125" style="0" hidden="1" customWidth="1"/>
    <col min="39" max="39" width="11.5" style="0" hidden="1" customWidth="1"/>
    <col min="40" max="45" width="0" style="0" hidden="1" customWidth="1"/>
    <col min="46" max="46" width="3.66015625" style="0" customWidth="1"/>
    <col min="49" max="49" width="13.66015625" style="0" customWidth="1"/>
  </cols>
  <sheetData>
    <row r="1" spans="1:59" ht="16.5" thickTop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32" t="s">
        <v>0</v>
      </c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  <c r="AH1" t="s">
        <v>66</v>
      </c>
      <c r="AI1" s="113" t="s">
        <v>31</v>
      </c>
      <c r="AJ1" s="113"/>
      <c r="AK1" s="113"/>
      <c r="AL1" s="113"/>
      <c r="AM1" t="s">
        <v>71</v>
      </c>
      <c r="AT1" s="77"/>
      <c r="AU1" s="197" t="s">
        <v>87</v>
      </c>
      <c r="AV1" s="198"/>
      <c r="AW1" s="199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135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35" t="s">
        <v>1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3"/>
      <c r="AI2" s="5" t="s">
        <v>32</v>
      </c>
      <c r="AJ2" s="5" t="s">
        <v>33</v>
      </c>
      <c r="AK2" s="6" t="s">
        <v>20</v>
      </c>
      <c r="AL2" s="5" t="s">
        <v>39</v>
      </c>
      <c r="AT2" s="77"/>
      <c r="AU2" s="200"/>
      <c r="AV2" s="201"/>
      <c r="AW2" s="202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5.75">
      <c r="A3" s="124" t="s">
        <v>115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6"/>
      <c r="Q3" s="124" t="s">
        <v>88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16"/>
      <c r="AI3" s="7">
        <v>1</v>
      </c>
      <c r="AJ3" s="7">
        <f>+Aliquote!C6</f>
        <v>15000</v>
      </c>
      <c r="AK3" s="8">
        <f>+Aliquote!D6</f>
        <v>0.23</v>
      </c>
      <c r="AL3" s="9"/>
      <c r="AT3" s="77"/>
      <c r="AU3" s="218"/>
      <c r="AV3" s="219"/>
      <c r="AW3" s="220"/>
      <c r="AX3" s="77"/>
      <c r="AY3" s="77"/>
      <c r="AZ3" s="77"/>
      <c r="BA3" s="77"/>
      <c r="BB3" s="77"/>
      <c r="BC3" s="77"/>
      <c r="BD3" s="77"/>
      <c r="BE3" s="77"/>
      <c r="BF3" s="77"/>
      <c r="BG3" s="77"/>
    </row>
    <row r="4" spans="1:59" ht="12.75" customHeight="1">
      <c r="A4" s="57"/>
      <c r="B4" s="58"/>
      <c r="C4" s="58"/>
      <c r="D4" s="58"/>
      <c r="E4" s="58"/>
      <c r="F4" s="58"/>
      <c r="G4" s="58"/>
      <c r="H4" s="58"/>
      <c r="I4" s="58"/>
      <c r="J4" s="120" t="s">
        <v>2</v>
      </c>
      <c r="K4" s="120"/>
      <c r="L4" s="2">
        <v>2007</v>
      </c>
      <c r="M4" s="20"/>
      <c r="N4" s="58"/>
      <c r="O4" s="58"/>
      <c r="P4" s="33"/>
      <c r="Q4" s="57"/>
      <c r="R4" s="58"/>
      <c r="S4" s="58"/>
      <c r="T4" s="58"/>
      <c r="U4" s="58"/>
      <c r="V4" s="58"/>
      <c r="W4" s="58"/>
      <c r="X4" s="58"/>
      <c r="Y4" s="58"/>
      <c r="Z4" s="120" t="s">
        <v>2</v>
      </c>
      <c r="AA4" s="120"/>
      <c r="AB4" s="2">
        <v>2007</v>
      </c>
      <c r="AC4" s="20"/>
      <c r="AD4" s="58"/>
      <c r="AE4" s="58"/>
      <c r="AF4" s="33"/>
      <c r="AI4" s="7">
        <f>+AJ3+0.01</f>
        <v>15000.01</v>
      </c>
      <c r="AJ4" s="7">
        <f>+Aliquote!C7</f>
        <v>28000</v>
      </c>
      <c r="AK4" s="8">
        <f>+Aliquote!D7</f>
        <v>0.27</v>
      </c>
      <c r="AL4" s="7">
        <f>ROUND(AI4*AK3,2)</f>
        <v>3450</v>
      </c>
      <c r="AT4" s="77"/>
      <c r="AU4" s="212" t="s">
        <v>84</v>
      </c>
      <c r="AV4" s="213"/>
      <c r="AW4" s="214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16.5" thickBot="1">
      <c r="A5" s="59" t="s">
        <v>3</v>
      </c>
      <c r="B5" s="60"/>
      <c r="C5" s="2" t="s">
        <v>4</v>
      </c>
      <c r="D5" s="117"/>
      <c r="E5" s="118"/>
      <c r="F5" s="118"/>
      <c r="G5" s="118"/>
      <c r="H5" s="118"/>
      <c r="I5" s="118"/>
      <c r="J5" s="118"/>
      <c r="K5" s="118"/>
      <c r="L5" s="119"/>
      <c r="M5" s="61" t="s">
        <v>5</v>
      </c>
      <c r="N5" s="226"/>
      <c r="O5" s="262"/>
      <c r="P5" s="263"/>
      <c r="Q5" s="59" t="s">
        <v>3</v>
      </c>
      <c r="R5" s="60"/>
      <c r="S5" s="2" t="s">
        <v>4</v>
      </c>
      <c r="T5" s="118"/>
      <c r="U5" s="118"/>
      <c r="V5" s="118"/>
      <c r="W5" s="118"/>
      <c r="X5" s="118"/>
      <c r="Y5" s="118"/>
      <c r="Z5" s="118"/>
      <c r="AA5" s="118"/>
      <c r="AB5" s="267"/>
      <c r="AC5" s="61" t="s">
        <v>5</v>
      </c>
      <c r="AD5" s="226"/>
      <c r="AE5" s="262"/>
      <c r="AF5" s="263"/>
      <c r="AH5" s="21"/>
      <c r="AI5" s="7">
        <f>+AJ4+0.01</f>
        <v>28000.01</v>
      </c>
      <c r="AJ5" s="7">
        <f>+Aliquote!C8</f>
        <v>55000</v>
      </c>
      <c r="AK5" s="8">
        <f>+Aliquote!D8</f>
        <v>0.38</v>
      </c>
      <c r="AL5" s="7">
        <f>ROUND((AI5-AI4)*AK4,2)+AL4</f>
        <v>6960</v>
      </c>
      <c r="AT5" s="77"/>
      <c r="AU5" s="215" t="s">
        <v>85</v>
      </c>
      <c r="AV5" s="216"/>
      <c r="AW5" s="21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 customHeight="1" thickTop="1">
      <c r="A6" s="221" t="s">
        <v>6</v>
      </c>
      <c r="B6" s="222"/>
      <c r="C6" s="226"/>
      <c r="D6" s="227"/>
      <c r="E6" s="227"/>
      <c r="F6" s="227"/>
      <c r="G6" s="228"/>
      <c r="H6" s="60" t="s">
        <v>7</v>
      </c>
      <c r="I6" s="229"/>
      <c r="J6" s="230"/>
      <c r="K6" s="231"/>
      <c r="L6" s="87" t="s">
        <v>94</v>
      </c>
      <c r="M6" s="121"/>
      <c r="N6" s="115"/>
      <c r="O6" s="115"/>
      <c r="P6" s="111"/>
      <c r="Q6" s="268"/>
      <c r="R6" s="269"/>
      <c r="S6" s="269"/>
      <c r="T6" s="261" t="s">
        <v>6</v>
      </c>
      <c r="U6" s="261"/>
      <c r="V6" s="226"/>
      <c r="W6" s="262"/>
      <c r="X6" s="262"/>
      <c r="Y6" s="262"/>
      <c r="Z6" s="263"/>
      <c r="AA6" s="60" t="s">
        <v>7</v>
      </c>
      <c r="AB6" s="264"/>
      <c r="AC6" s="265"/>
      <c r="AD6" s="20"/>
      <c r="AE6" s="20"/>
      <c r="AF6" s="62"/>
      <c r="AH6" s="21"/>
      <c r="AI6" s="7">
        <f>+AJ5+0.01</f>
        <v>55000.01</v>
      </c>
      <c r="AJ6" s="7">
        <f>+Aliquote!C9</f>
        <v>75000</v>
      </c>
      <c r="AK6" s="8">
        <f>+Aliquote!D9</f>
        <v>0.41</v>
      </c>
      <c r="AL6" s="7">
        <f>ROUND((AI6-AI5)*AK5,2)+AL5</f>
        <v>17220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12.75" customHeight="1">
      <c r="A7" s="175" t="s">
        <v>8</v>
      </c>
      <c r="B7" s="176"/>
      <c r="C7" s="176"/>
      <c r="D7" s="176"/>
      <c r="E7" s="176"/>
      <c r="F7" s="176"/>
      <c r="G7" s="176"/>
      <c r="H7" s="162" t="s">
        <v>9</v>
      </c>
      <c r="I7" s="162"/>
      <c r="J7" s="162"/>
      <c r="K7" s="162"/>
      <c r="L7" s="162"/>
      <c r="M7" s="20"/>
      <c r="N7" s="20"/>
      <c r="O7" s="20"/>
      <c r="P7" s="62"/>
      <c r="Q7" s="175" t="s">
        <v>8</v>
      </c>
      <c r="R7" s="176"/>
      <c r="S7" s="176"/>
      <c r="T7" s="176"/>
      <c r="U7" s="176"/>
      <c r="V7" s="176"/>
      <c r="W7" s="176"/>
      <c r="X7" s="162" t="s">
        <v>9</v>
      </c>
      <c r="Y7" s="162"/>
      <c r="Z7" s="162"/>
      <c r="AA7" s="162"/>
      <c r="AB7" s="162"/>
      <c r="AC7" s="20"/>
      <c r="AD7" s="20"/>
      <c r="AE7" s="20"/>
      <c r="AF7" s="62"/>
      <c r="AH7" s="21"/>
      <c r="AI7" s="7">
        <f>+AJ6+0.01</f>
        <v>75000.01</v>
      </c>
      <c r="AJ7" s="7">
        <v>1000000</v>
      </c>
      <c r="AK7" s="8">
        <f>+Aliquote!D10</f>
        <v>0.43</v>
      </c>
      <c r="AL7" s="7">
        <f>ROUND((AI7-AI6)*AK6,2)+AL6</f>
        <v>25420</v>
      </c>
      <c r="AT7" s="77"/>
      <c r="AU7" s="253" t="s">
        <v>86</v>
      </c>
      <c r="AV7" s="254"/>
      <c r="AW7" s="255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12.75">
      <c r="A8" s="27" t="s">
        <v>81</v>
      </c>
      <c r="B8" s="29"/>
      <c r="C8" s="29"/>
      <c r="D8" s="23"/>
      <c r="E8" s="126"/>
      <c r="F8" s="127"/>
      <c r="G8" s="128"/>
      <c r="H8" s="223" t="s">
        <v>10</v>
      </c>
      <c r="I8" s="224"/>
      <c r="J8" s="224"/>
      <c r="K8" s="225"/>
      <c r="L8" s="1"/>
      <c r="M8" s="20"/>
      <c r="N8" s="20"/>
      <c r="O8" s="20"/>
      <c r="P8" s="62"/>
      <c r="Q8" s="27" t="s">
        <v>81</v>
      </c>
      <c r="R8" s="29"/>
      <c r="S8" s="29"/>
      <c r="T8" s="23"/>
      <c r="U8" s="126">
        <f>ROUND(E8*13,5)</f>
        <v>0</v>
      </c>
      <c r="V8" s="127"/>
      <c r="W8" s="128"/>
      <c r="X8" s="223" t="s">
        <v>10</v>
      </c>
      <c r="Y8" s="224"/>
      <c r="Z8" s="224"/>
      <c r="AA8" s="225"/>
      <c r="AB8" s="1"/>
      <c r="AC8" s="20"/>
      <c r="AD8" s="20"/>
      <c r="AE8" s="20"/>
      <c r="AF8" s="62"/>
      <c r="AH8" s="21"/>
      <c r="AI8" s="7">
        <f>+AJ7+0.01</f>
        <v>1000000.01</v>
      </c>
      <c r="AJ8" s="10">
        <v>2000000</v>
      </c>
      <c r="AK8" s="11">
        <f>+AK7</f>
        <v>0.43</v>
      </c>
      <c r="AL8" s="10">
        <f>ROUND((AI8-AI7)*AK7,2)+AL7</f>
        <v>423170</v>
      </c>
      <c r="AT8" s="77"/>
      <c r="AU8" s="256"/>
      <c r="AV8" s="207"/>
      <c r="AW8" s="25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12.75">
      <c r="A9" s="27" t="s">
        <v>12</v>
      </c>
      <c r="B9" s="29"/>
      <c r="C9" s="29"/>
      <c r="D9" s="23"/>
      <c r="E9" s="126"/>
      <c r="F9" s="127"/>
      <c r="G9" s="128"/>
      <c r="H9" s="194" t="s">
        <v>11</v>
      </c>
      <c r="I9" s="195"/>
      <c r="J9" s="195"/>
      <c r="K9" s="196"/>
      <c r="L9" s="1"/>
      <c r="M9" s="20"/>
      <c r="N9" s="20"/>
      <c r="O9" s="20"/>
      <c r="P9" s="62"/>
      <c r="Q9" s="27" t="s">
        <v>12</v>
      </c>
      <c r="R9" s="29"/>
      <c r="S9" s="29"/>
      <c r="T9" s="23"/>
      <c r="U9" s="126">
        <f>ROUND(E9*13,5)</f>
        <v>0</v>
      </c>
      <c r="V9" s="127"/>
      <c r="W9" s="128"/>
      <c r="X9" s="194" t="s">
        <v>11</v>
      </c>
      <c r="Y9" s="195"/>
      <c r="Z9" s="195"/>
      <c r="AA9" s="196"/>
      <c r="AB9" s="1"/>
      <c r="AC9" s="20"/>
      <c r="AD9" s="20"/>
      <c r="AE9" s="20"/>
      <c r="AF9" s="62"/>
      <c r="AH9" s="22"/>
      <c r="AT9" s="77"/>
      <c r="AU9" s="256"/>
      <c r="AV9" s="207"/>
      <c r="AW9" s="25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12.75">
      <c r="A10" s="27" t="s">
        <v>14</v>
      </c>
      <c r="B10" s="29"/>
      <c r="C10" s="29"/>
      <c r="D10" s="23"/>
      <c r="E10" s="126"/>
      <c r="F10" s="127"/>
      <c r="G10" s="128"/>
      <c r="H10" s="194" t="s">
        <v>13</v>
      </c>
      <c r="I10" s="195"/>
      <c r="J10" s="195"/>
      <c r="K10" s="196"/>
      <c r="L10" s="1"/>
      <c r="M10" s="20"/>
      <c r="N10" s="20"/>
      <c r="O10" s="20"/>
      <c r="P10" s="62"/>
      <c r="Q10" s="27" t="s">
        <v>14</v>
      </c>
      <c r="R10" s="29"/>
      <c r="S10" s="29"/>
      <c r="T10" s="23"/>
      <c r="U10" s="126">
        <f aca="true" t="shared" si="0" ref="U10:U15">+E10</f>
        <v>0</v>
      </c>
      <c r="V10" s="127"/>
      <c r="W10" s="128"/>
      <c r="X10" s="194" t="s">
        <v>13</v>
      </c>
      <c r="Y10" s="195"/>
      <c r="Z10" s="195"/>
      <c r="AA10" s="196"/>
      <c r="AB10" s="1"/>
      <c r="AC10" s="20"/>
      <c r="AD10" s="20"/>
      <c r="AE10" s="20"/>
      <c r="AF10" s="62"/>
      <c r="AT10" s="77"/>
      <c r="AU10" s="256"/>
      <c r="AV10" s="207"/>
      <c r="AW10" s="25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12.75">
      <c r="A11" s="27" t="s">
        <v>16</v>
      </c>
      <c r="B11" s="29"/>
      <c r="C11" s="29"/>
      <c r="D11" s="29"/>
      <c r="E11" s="126"/>
      <c r="F11" s="127"/>
      <c r="G11" s="128"/>
      <c r="H11" s="129" t="s">
        <v>15</v>
      </c>
      <c r="I11" s="130"/>
      <c r="J11" s="130"/>
      <c r="K11" s="131"/>
      <c r="L11" s="1"/>
      <c r="M11" s="20"/>
      <c r="N11" s="20"/>
      <c r="O11" s="20"/>
      <c r="P11" s="62"/>
      <c r="Q11" s="27" t="s">
        <v>16</v>
      </c>
      <c r="R11" s="29"/>
      <c r="S11" s="29"/>
      <c r="T11" s="29"/>
      <c r="U11" s="126">
        <f t="shared" si="0"/>
        <v>0</v>
      </c>
      <c r="V11" s="127"/>
      <c r="W11" s="128"/>
      <c r="X11" s="129" t="s">
        <v>15</v>
      </c>
      <c r="Y11" s="130"/>
      <c r="Z11" s="130"/>
      <c r="AA11" s="131"/>
      <c r="AB11" s="1">
        <f>ROUND(U14*(Aliquote!G9+Aliquote!H9+Aliquote!I9),5)</f>
        <v>0</v>
      </c>
      <c r="AC11" s="20"/>
      <c r="AD11" s="20"/>
      <c r="AE11" s="20"/>
      <c r="AF11" s="62"/>
      <c r="AH11" s="85"/>
      <c r="AT11" s="77"/>
      <c r="AU11" s="258"/>
      <c r="AV11" s="259"/>
      <c r="AW11" s="260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12.75">
      <c r="A12" s="27" t="s">
        <v>18</v>
      </c>
      <c r="B12" s="29"/>
      <c r="C12" s="29"/>
      <c r="D12" s="23"/>
      <c r="E12" s="126"/>
      <c r="F12" s="127"/>
      <c r="G12" s="128"/>
      <c r="H12" s="129" t="s">
        <v>15</v>
      </c>
      <c r="I12" s="130"/>
      <c r="J12" s="130"/>
      <c r="K12" s="131"/>
      <c r="L12" s="1"/>
      <c r="M12" s="20"/>
      <c r="N12" s="20"/>
      <c r="O12" s="20"/>
      <c r="P12" s="62"/>
      <c r="Q12" s="27" t="s">
        <v>18</v>
      </c>
      <c r="R12" s="29"/>
      <c r="S12" s="29"/>
      <c r="T12" s="23"/>
      <c r="U12" s="126">
        <f t="shared" si="0"/>
        <v>0</v>
      </c>
      <c r="V12" s="127"/>
      <c r="W12" s="128"/>
      <c r="X12" s="129" t="s">
        <v>15</v>
      </c>
      <c r="Y12" s="130"/>
      <c r="Z12" s="130"/>
      <c r="AA12" s="131"/>
      <c r="AB12" s="1">
        <f>ROUND(U15*(Aliquote!H9+Aliquote!I9),5)</f>
        <v>0</v>
      </c>
      <c r="AC12" s="99"/>
      <c r="AD12" s="20"/>
      <c r="AE12" s="20"/>
      <c r="AF12" s="62"/>
      <c r="AH12" s="85"/>
      <c r="AI12" s="114" t="s">
        <v>34</v>
      </c>
      <c r="AJ12" s="114"/>
      <c r="AK12" s="114"/>
      <c r="AL12" s="114"/>
      <c r="AM12" s="114"/>
      <c r="AN12" t="s">
        <v>46</v>
      </c>
      <c r="AO12" t="s">
        <v>45</v>
      </c>
      <c r="AT12" s="77"/>
      <c r="AU12" s="78"/>
      <c r="AV12" s="78"/>
      <c r="AW12" s="78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12.75">
      <c r="A13" s="27" t="s">
        <v>19</v>
      </c>
      <c r="B13" s="29"/>
      <c r="C13" s="29"/>
      <c r="D13" s="23"/>
      <c r="E13" s="126"/>
      <c r="F13" s="127"/>
      <c r="G13" s="128"/>
      <c r="H13" s="150" t="s">
        <v>17</v>
      </c>
      <c r="I13" s="158"/>
      <c r="J13" s="158"/>
      <c r="K13" s="151"/>
      <c r="L13" s="3">
        <f>SUM(L8:L12)</f>
        <v>0</v>
      </c>
      <c r="M13" s="20"/>
      <c r="N13" s="20"/>
      <c r="O13" s="20"/>
      <c r="P13" s="62"/>
      <c r="Q13" s="27" t="s">
        <v>19</v>
      </c>
      <c r="R13" s="29"/>
      <c r="S13" s="29"/>
      <c r="T13" s="23"/>
      <c r="U13" s="126">
        <f t="shared" si="0"/>
        <v>0</v>
      </c>
      <c r="V13" s="127"/>
      <c r="W13" s="128"/>
      <c r="X13" s="150" t="s">
        <v>17</v>
      </c>
      <c r="Y13" s="158"/>
      <c r="Z13" s="158"/>
      <c r="AA13" s="151"/>
      <c r="AB13" s="3">
        <f>ROUND((L13-L11-L12)*13,5)+AB11+AB12</f>
        <v>0</v>
      </c>
      <c r="AC13" s="20"/>
      <c r="AD13" s="20"/>
      <c r="AE13" s="20"/>
      <c r="AF13" s="62"/>
      <c r="AH13" s="85"/>
      <c r="AI13" s="4" t="s">
        <v>35</v>
      </c>
      <c r="AJ13" s="12">
        <v>80000</v>
      </c>
      <c r="AK13" s="4"/>
      <c r="AL13" s="12">
        <v>800</v>
      </c>
      <c r="AM13" s="12">
        <v>690</v>
      </c>
      <c r="AN13">
        <v>110</v>
      </c>
      <c r="AO13">
        <f>ROUND(ReddNetto/AJ18,4)</f>
        <v>0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13.5" thickBot="1">
      <c r="A14" s="129" t="s">
        <v>113</v>
      </c>
      <c r="B14" s="130"/>
      <c r="C14" s="130"/>
      <c r="D14" s="131"/>
      <c r="E14" s="126"/>
      <c r="F14" s="127"/>
      <c r="G14" s="128"/>
      <c r="H14" s="20"/>
      <c r="I14" s="20"/>
      <c r="J14" s="20"/>
      <c r="K14" s="20"/>
      <c r="L14" s="20"/>
      <c r="M14" s="20"/>
      <c r="N14" s="20"/>
      <c r="O14" s="20"/>
      <c r="P14" s="62"/>
      <c r="Q14" s="26" t="s">
        <v>15</v>
      </c>
      <c r="R14" s="30"/>
      <c r="S14" s="30"/>
      <c r="T14" s="24"/>
      <c r="U14" s="126">
        <f t="shared" si="0"/>
        <v>0</v>
      </c>
      <c r="V14" s="127"/>
      <c r="W14" s="128"/>
      <c r="X14" s="20"/>
      <c r="Y14" s="20"/>
      <c r="Z14" s="20"/>
      <c r="AA14" s="20"/>
      <c r="AB14" s="20"/>
      <c r="AC14" s="20"/>
      <c r="AD14" s="20"/>
      <c r="AE14" s="20"/>
      <c r="AF14" s="62"/>
      <c r="AH14" s="85"/>
      <c r="AI14" s="4" t="s">
        <v>36</v>
      </c>
      <c r="AJ14" s="12">
        <v>95000</v>
      </c>
      <c r="AK14" s="4"/>
      <c r="AL14" s="12">
        <v>800</v>
      </c>
      <c r="AO14">
        <f>ROUND((Coniuge-ReddNetto)/AJ37,4)</f>
        <v>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13.5" thickTop="1">
      <c r="A15" s="129" t="s">
        <v>114</v>
      </c>
      <c r="B15" s="130"/>
      <c r="C15" s="130"/>
      <c r="D15" s="131"/>
      <c r="E15" s="126"/>
      <c r="F15" s="127"/>
      <c r="G15" s="128"/>
      <c r="H15" s="20"/>
      <c r="I15" s="20"/>
      <c r="J15" s="20"/>
      <c r="K15" s="20"/>
      <c r="L15" s="20"/>
      <c r="M15" s="20"/>
      <c r="N15" s="20"/>
      <c r="O15" s="20"/>
      <c r="P15" s="62"/>
      <c r="Q15" s="26" t="s">
        <v>15</v>
      </c>
      <c r="R15" s="30"/>
      <c r="S15" s="30"/>
      <c r="T15" s="24"/>
      <c r="U15" s="126">
        <f t="shared" si="0"/>
        <v>0</v>
      </c>
      <c r="V15" s="127"/>
      <c r="W15" s="128"/>
      <c r="X15" s="20"/>
      <c r="Y15" s="20"/>
      <c r="Z15" s="20"/>
      <c r="AA15" s="20"/>
      <c r="AB15" s="20"/>
      <c r="AC15" s="20"/>
      <c r="AD15" s="20"/>
      <c r="AE15" s="25" t="s">
        <v>97</v>
      </c>
      <c r="AF15" s="62"/>
      <c r="AH15" s="85"/>
      <c r="AI15" s="4" t="s">
        <v>37</v>
      </c>
      <c r="AJ15" s="12">
        <v>55000</v>
      </c>
      <c r="AK15" s="4"/>
      <c r="AL15" s="12">
        <v>1338</v>
      </c>
      <c r="AT15" s="77"/>
      <c r="AU15" s="203" t="s">
        <v>104</v>
      </c>
      <c r="AV15" s="204"/>
      <c r="AW15" s="205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ht="12.75">
      <c r="A16" s="31" t="s">
        <v>17</v>
      </c>
      <c r="B16" s="28"/>
      <c r="C16" s="28"/>
      <c r="D16" s="32"/>
      <c r="E16" s="145">
        <f>SUM(E8:G15)</f>
        <v>0</v>
      </c>
      <c r="F16" s="164"/>
      <c r="G16" s="146"/>
      <c r="H16" s="20"/>
      <c r="I16" s="20"/>
      <c r="J16" s="20"/>
      <c r="K16" s="20"/>
      <c r="L16" s="20"/>
      <c r="M16" s="20"/>
      <c r="N16" s="20"/>
      <c r="O16" s="20"/>
      <c r="P16" s="62"/>
      <c r="Q16" s="31" t="s">
        <v>17</v>
      </c>
      <c r="R16" s="28"/>
      <c r="S16" s="28"/>
      <c r="T16" s="32"/>
      <c r="U16" s="145">
        <f>SUM(U8:W15)</f>
        <v>0</v>
      </c>
      <c r="V16" s="164"/>
      <c r="W16" s="146"/>
      <c r="X16" s="20"/>
      <c r="Y16" s="20"/>
      <c r="Z16" s="20"/>
      <c r="AA16" s="20"/>
      <c r="AB16" s="20"/>
      <c r="AC16" s="20"/>
      <c r="AD16" s="20"/>
      <c r="AE16" s="89">
        <f>ROUND((E8+E9)*12+SUM(E10:G15),5)-ROUND(L13*12,5)</f>
        <v>0</v>
      </c>
      <c r="AF16" s="62"/>
      <c r="AH16" s="85"/>
      <c r="AT16" s="77"/>
      <c r="AU16" s="206"/>
      <c r="AV16" s="207"/>
      <c r="AW16" s="208"/>
      <c r="AX16" s="77"/>
      <c r="AY16" s="77"/>
      <c r="AZ16" s="77"/>
      <c r="BA16" s="77"/>
      <c r="BB16" s="77"/>
      <c r="BC16" s="77"/>
      <c r="BD16" s="77"/>
      <c r="BE16" s="77"/>
      <c r="BF16" s="77"/>
      <c r="BG16" s="77"/>
    </row>
    <row r="17" spans="1:59" ht="13.5" thickBot="1">
      <c r="A17" s="5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/>
      <c r="Q17" s="57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2"/>
      <c r="AH17" s="85"/>
      <c r="AI17" s="4" t="s">
        <v>40</v>
      </c>
      <c r="AJ17" s="12" t="s">
        <v>41</v>
      </c>
      <c r="AL17" s="18" t="s">
        <v>47</v>
      </c>
      <c r="AM17" s="18" t="s">
        <v>42</v>
      </c>
      <c r="AO17">
        <f>IF(AP17&gt;0,1,0)</f>
        <v>0</v>
      </c>
      <c r="AQ17">
        <v>700</v>
      </c>
      <c r="AT17" s="77"/>
      <c r="AU17" s="206"/>
      <c r="AV17" s="207"/>
      <c r="AW17" s="208"/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59" ht="13.5" customHeight="1" hidden="1" thickBot="1">
      <c r="A18" s="79"/>
      <c r="B18" s="25"/>
      <c r="C18" s="25"/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  <c r="P18" s="62"/>
      <c r="Q18" s="79"/>
      <c r="R18" s="25"/>
      <c r="S18" s="25"/>
      <c r="T18" s="25"/>
      <c r="U18" s="25"/>
      <c r="V18" s="25"/>
      <c r="W18" s="25"/>
      <c r="X18" s="20"/>
      <c r="Y18" s="20"/>
      <c r="Z18" s="20"/>
      <c r="AA18" s="20"/>
      <c r="AB18" s="20"/>
      <c r="AC18" s="20"/>
      <c r="AD18" s="20"/>
      <c r="AE18" s="20"/>
      <c r="AF18" s="62"/>
      <c r="AI18" s="109" t="s">
        <v>35</v>
      </c>
      <c r="AJ18" s="109">
        <v>15000</v>
      </c>
      <c r="AL18" s="16">
        <v>0</v>
      </c>
      <c r="AM18" s="15">
        <v>0</v>
      </c>
      <c r="AO18">
        <f>IF(AP18&gt;0,1,0)</f>
        <v>0</v>
      </c>
      <c r="AQ18">
        <v>500</v>
      </c>
      <c r="AT18" s="77"/>
      <c r="AU18" s="206"/>
      <c r="AV18" s="207"/>
      <c r="AW18" s="208"/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59" ht="15.75">
      <c r="A19" s="191" t="s">
        <v>69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  <c r="Q19" s="191" t="s">
        <v>69</v>
      </c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3"/>
      <c r="AI19" s="109"/>
      <c r="AJ19" s="109"/>
      <c r="AL19" s="16"/>
      <c r="AM19" s="15"/>
      <c r="AT19" s="77"/>
      <c r="AU19" s="206"/>
      <c r="AV19" s="207"/>
      <c r="AW19" s="208"/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59" ht="12.75">
      <c r="A20" s="182" t="s">
        <v>35</v>
      </c>
      <c r="B20" s="182"/>
      <c r="C20" s="182"/>
      <c r="D20" s="2"/>
      <c r="E20" s="25"/>
      <c r="F20" s="63"/>
      <c r="G20" s="63"/>
      <c r="H20" s="63"/>
      <c r="I20" s="45"/>
      <c r="J20" s="20"/>
      <c r="K20" s="20"/>
      <c r="L20" s="20"/>
      <c r="M20" s="20"/>
      <c r="N20" s="20"/>
      <c r="O20" s="20"/>
      <c r="P20" s="62"/>
      <c r="Q20" s="182" t="s">
        <v>35</v>
      </c>
      <c r="R20" s="182"/>
      <c r="S20" s="182"/>
      <c r="T20" s="2">
        <f>+D20</f>
        <v>0</v>
      </c>
      <c r="U20" s="25"/>
      <c r="V20" s="63" t="str">
        <f>IF(CNG="Si","Mesi a carico",Vuota1)</f>
        <v>        </v>
      </c>
      <c r="W20" s="63"/>
      <c r="X20" s="63"/>
      <c r="Y20" s="45">
        <v>12</v>
      </c>
      <c r="Z20" s="20"/>
      <c r="AA20" s="20"/>
      <c r="AB20" s="20"/>
      <c r="AC20" s="20"/>
      <c r="AD20" s="20"/>
      <c r="AE20" s="20"/>
      <c r="AF20" s="62"/>
      <c r="AI20" s="109"/>
      <c r="AJ20" s="109"/>
      <c r="AL20" s="16"/>
      <c r="AM20" s="15"/>
      <c r="AT20" s="77"/>
      <c r="AU20" s="206"/>
      <c r="AV20" s="207"/>
      <c r="AW20" s="208"/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59" ht="12.75">
      <c r="A21" s="64"/>
      <c r="B21" s="63"/>
      <c r="C21" s="48"/>
      <c r="D21" s="20"/>
      <c r="E21" s="25"/>
      <c r="F21" s="63"/>
      <c r="G21" s="63"/>
      <c r="H21" s="63"/>
      <c r="I21" s="20"/>
      <c r="J21" s="20"/>
      <c r="K21" s="20"/>
      <c r="L21" s="20"/>
      <c r="M21" s="20"/>
      <c r="N21" s="20"/>
      <c r="O21" s="20"/>
      <c r="P21" s="62"/>
      <c r="Q21" s="64"/>
      <c r="R21" s="63"/>
      <c r="S21" s="48"/>
      <c r="T21" s="20"/>
      <c r="U21" s="25"/>
      <c r="V21" s="63"/>
      <c r="W21" s="63"/>
      <c r="X21" s="63"/>
      <c r="Y21" s="20"/>
      <c r="Z21" s="20"/>
      <c r="AA21" s="20"/>
      <c r="AB21" s="20"/>
      <c r="AC21" s="20"/>
      <c r="AD21" s="20"/>
      <c r="AE21" s="20"/>
      <c r="AF21" s="62"/>
      <c r="AI21" s="109"/>
      <c r="AJ21" s="109"/>
      <c r="AL21" s="16"/>
      <c r="AM21" s="15"/>
      <c r="AT21" s="77"/>
      <c r="AU21" s="206"/>
      <c r="AV21" s="207"/>
      <c r="AW21" s="208"/>
      <c r="AX21" s="77"/>
      <c r="AY21" s="77"/>
      <c r="AZ21" s="77"/>
      <c r="BA21" s="77"/>
      <c r="BB21" s="77"/>
      <c r="BC21" s="77"/>
      <c r="BD21" s="77"/>
      <c r="BE21" s="77"/>
      <c r="BF21" s="77"/>
      <c r="BG21" s="77"/>
    </row>
    <row r="22" spans="1:59" ht="13.5" thickBot="1">
      <c r="A22" s="54" t="s">
        <v>70</v>
      </c>
      <c r="B22" s="55"/>
      <c r="C22" s="56"/>
      <c r="D22" s="49"/>
      <c r="E22" s="20"/>
      <c r="F22" s="63" t="str">
        <f>IF(N_Fgl&gt;0,"Se il 1° figlio è in assenza del coniuge barrare la casella &gt;&gt;&gt;&gt;",Vuota1)</f>
        <v>        </v>
      </c>
      <c r="G22" s="63"/>
      <c r="H22" s="63"/>
      <c r="I22" s="20"/>
      <c r="J22" s="25"/>
      <c r="K22" s="20"/>
      <c r="L22" s="20"/>
      <c r="M22" s="20"/>
      <c r="N22" s="43"/>
      <c r="O22" s="63"/>
      <c r="P22" s="65"/>
      <c r="Q22" s="54" t="s">
        <v>70</v>
      </c>
      <c r="R22" s="55"/>
      <c r="S22" s="56"/>
      <c r="T22" s="49">
        <f>+D22</f>
        <v>0</v>
      </c>
      <c r="U22" s="20"/>
      <c r="V22" s="63" t="str">
        <f>IF(N_Fgl&gt;0,"Se il 1° figlio è in assenza delconiuge barrare la casella &gt;&gt;&gt;&gt;",Vuota1)</f>
        <v>        </v>
      </c>
      <c r="W22" s="63"/>
      <c r="X22" s="63"/>
      <c r="Y22" s="20"/>
      <c r="Z22" s="25"/>
      <c r="AA22" s="20"/>
      <c r="AB22" s="20"/>
      <c r="AC22" s="20"/>
      <c r="AD22" s="44">
        <f>+N22</f>
        <v>0</v>
      </c>
      <c r="AE22" s="63" t="str">
        <f>IF(AD22&gt;0,"Mesi a carico",Vuota1)</f>
        <v>        </v>
      </c>
      <c r="AF22" s="65"/>
      <c r="AI22" s="109"/>
      <c r="AJ22" s="109"/>
      <c r="AL22" s="16"/>
      <c r="AM22" s="15"/>
      <c r="AT22" s="77"/>
      <c r="AU22" s="209"/>
      <c r="AV22" s="210"/>
      <c r="AW22" s="211"/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59" ht="12.75" customHeight="1" thickTop="1">
      <c r="A23" s="47"/>
      <c r="B23" s="175" t="s">
        <v>67</v>
      </c>
      <c r="C23" s="176"/>
      <c r="D23" s="177"/>
      <c r="E23" s="178" t="s">
        <v>68</v>
      </c>
      <c r="F23" s="179"/>
      <c r="G23" s="177"/>
      <c r="H23" s="178" t="s">
        <v>61</v>
      </c>
      <c r="I23" s="179"/>
      <c r="J23" s="177"/>
      <c r="K23" s="48"/>
      <c r="L23" s="63"/>
      <c r="M23" s="20"/>
      <c r="N23" s="20"/>
      <c r="O23" s="20"/>
      <c r="P23" s="62"/>
      <c r="Q23" s="47"/>
      <c r="R23" s="175" t="s">
        <v>67</v>
      </c>
      <c r="S23" s="176"/>
      <c r="T23" s="177"/>
      <c r="U23" s="178" t="s">
        <v>68</v>
      </c>
      <c r="V23" s="179"/>
      <c r="W23" s="177"/>
      <c r="X23" s="178" t="s">
        <v>61</v>
      </c>
      <c r="Y23" s="179"/>
      <c r="Z23" s="177"/>
      <c r="AA23" s="42" t="s">
        <v>83</v>
      </c>
      <c r="AB23" s="63"/>
      <c r="AC23" s="20"/>
      <c r="AD23" s="20"/>
      <c r="AE23" s="20"/>
      <c r="AF23" s="62"/>
      <c r="AI23" s="109"/>
      <c r="AJ23" s="109"/>
      <c r="AL23" s="16"/>
      <c r="AM23" s="15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59" ht="12.75" customHeight="1">
      <c r="A24" s="64" t="str">
        <f>IF(N_Fgl&gt;0,"1° figlio",Vuota1)</f>
        <v>        </v>
      </c>
      <c r="B24" s="63"/>
      <c r="C24" s="43"/>
      <c r="D24" s="63"/>
      <c r="E24" s="63"/>
      <c r="F24" s="43"/>
      <c r="G24" s="63"/>
      <c r="H24" s="63"/>
      <c r="I24" s="43"/>
      <c r="J24" s="63"/>
      <c r="K24" s="63"/>
      <c r="L24" s="66" t="str">
        <f>IF($D$22&gt;0,ROUND(AB24/12,2),Vuota1)</f>
        <v>        </v>
      </c>
      <c r="M24" s="183" t="s">
        <v>72</v>
      </c>
      <c r="N24" s="184"/>
      <c r="O24" s="185"/>
      <c r="P24" s="172">
        <v>0.5</v>
      </c>
      <c r="Q24" s="64" t="str">
        <f>IF(N_Fgl&gt;0,"1° figlio",Vuota1)</f>
        <v>        </v>
      </c>
      <c r="R24" s="63"/>
      <c r="S24" s="43">
        <f aca="true" t="shared" si="1" ref="S24:S30">+C24</f>
        <v>0</v>
      </c>
      <c r="T24" s="63"/>
      <c r="U24" s="63"/>
      <c r="V24" s="43">
        <f>+F24</f>
        <v>0</v>
      </c>
      <c r="W24" s="63"/>
      <c r="X24" s="63"/>
      <c r="Y24" s="43">
        <f>+I24</f>
        <v>0</v>
      </c>
      <c r="Z24" s="63"/>
      <c r="AA24" s="43"/>
      <c r="AB24" s="66" t="str">
        <f>IF(N_Fgl&gt;0,IF(AD22&gt;0,AH26,ROUND(dsfig*Percm,2)+IF($V$24&gt;0,ROUND((dsfg3-fgl)*Percm,2),0)+IF($Y$24&gt;0,ROUND(dsfhc*Percm,2),0)),Vuota1)</f>
        <v>        </v>
      </c>
      <c r="AC24" s="183" t="s">
        <v>72</v>
      </c>
      <c r="AD24" s="184"/>
      <c r="AE24" s="185"/>
      <c r="AF24" s="172">
        <f>+P24</f>
        <v>0.5</v>
      </c>
      <c r="AH24" s="85">
        <f>ROUND(dsfig,5)+IF($V$24&gt;0,ROUND(dsfg3-dsfig,5),0)+IF($Y$24&gt;0,ROUND(dsfhc,5),0)</f>
        <v>0</v>
      </c>
      <c r="AI24" s="109"/>
      <c r="AJ24" s="109"/>
      <c r="AL24" s="16"/>
      <c r="AM24" s="15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</row>
    <row r="25" spans="1:59" ht="12.75">
      <c r="A25" s="64" t="str">
        <f>IF(N_Fgl&gt;1,"2° figlio"," ")</f>
        <v> </v>
      </c>
      <c r="B25" s="63"/>
      <c r="C25" s="43"/>
      <c r="D25" s="63"/>
      <c r="E25" s="63"/>
      <c r="F25" s="43"/>
      <c r="G25" s="63"/>
      <c r="H25" s="63"/>
      <c r="I25" s="43"/>
      <c r="J25" s="63"/>
      <c r="K25" s="63"/>
      <c r="L25" s="66" t="str">
        <f>IF($D$22&gt;1,ROUND(AB25/12,2),Vuota1)</f>
        <v>        </v>
      </c>
      <c r="M25" s="186"/>
      <c r="N25" s="110"/>
      <c r="O25" s="187"/>
      <c r="P25" s="173"/>
      <c r="Q25" s="64" t="str">
        <f>IF(N_Fgl&gt;1,"2° figlio"," ")</f>
        <v> </v>
      </c>
      <c r="R25" s="63"/>
      <c r="S25" s="43">
        <f t="shared" si="1"/>
        <v>0</v>
      </c>
      <c r="T25" s="63"/>
      <c r="U25" s="63"/>
      <c r="V25" s="43">
        <f aca="true" t="shared" si="2" ref="V25:V30">+F25</f>
        <v>0</v>
      </c>
      <c r="W25" s="63"/>
      <c r="X25" s="63"/>
      <c r="Y25" s="43">
        <f aca="true" t="shared" si="3" ref="Y25:Y30">+I25</f>
        <v>0</v>
      </c>
      <c r="Z25" s="63"/>
      <c r="AA25" s="43"/>
      <c r="AB25" s="66" t="str">
        <f>IF(N_Fgl&gt;1,ROUND(dsfig*Percm,2)+IF(V25&gt;0,ROUND((dsfg3-fgl)*Percm,2),0)+IF(Y25&gt;0,ROUND(dsfhc*Percm,2),0),Vuota1)</f>
        <v>        </v>
      </c>
      <c r="AC25" s="186"/>
      <c r="AD25" s="110"/>
      <c r="AE25" s="187"/>
      <c r="AF25" s="173"/>
      <c r="AI25" s="109"/>
      <c r="AJ25" s="109"/>
      <c r="AL25" s="16"/>
      <c r="AM25" s="15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12.75">
      <c r="A26" s="64" t="str">
        <f>IF(N_Fgl&gt;2,"3° figlio"," ")</f>
        <v> </v>
      </c>
      <c r="B26" s="63"/>
      <c r="C26" s="43"/>
      <c r="D26" s="63"/>
      <c r="E26" s="63"/>
      <c r="F26" s="43"/>
      <c r="G26" s="63"/>
      <c r="H26" s="63"/>
      <c r="I26" s="43"/>
      <c r="J26" s="63"/>
      <c r="K26" s="63"/>
      <c r="L26" s="66" t="str">
        <f>IF($D$22&gt;2,ROUND(AB26/12,2),Vuota1)</f>
        <v>        </v>
      </c>
      <c r="M26" s="188"/>
      <c r="N26" s="189"/>
      <c r="O26" s="190"/>
      <c r="P26" s="174"/>
      <c r="Q26" s="64" t="str">
        <f>IF(N_Fgl&gt;2,"3° figlio"," ")</f>
        <v> </v>
      </c>
      <c r="R26" s="63"/>
      <c r="S26" s="43">
        <f t="shared" si="1"/>
        <v>0</v>
      </c>
      <c r="T26" s="63"/>
      <c r="U26" s="63"/>
      <c r="V26" s="43">
        <f t="shared" si="2"/>
        <v>0</v>
      </c>
      <c r="W26" s="63"/>
      <c r="X26" s="63"/>
      <c r="Y26" s="43">
        <f t="shared" si="3"/>
        <v>0</v>
      </c>
      <c r="Z26" s="63"/>
      <c r="AA26" s="43"/>
      <c r="AB26" s="66" t="str">
        <f>IF(N_Fgl&gt;2,ROUND(dsfig*Percm,2)+IF(V26&gt;0,ROUND(dsfg3*Percm,2),0)+IF(Y26&gt;0,ROUND(dsfhc*Percm,2),0),Vuota1)</f>
        <v>        </v>
      </c>
      <c r="AC26" s="188"/>
      <c r="AD26" s="189"/>
      <c r="AE26" s="190"/>
      <c r="AF26" s="174"/>
      <c r="AH26" s="85">
        <f>IF($AD$22&gt;0,IF($AH$24&gt;Cng_nn,ROUND($AH$24,2),ROUND(Cng_nn,5)),AH24)</f>
        <v>0</v>
      </c>
      <c r="AI26" s="109"/>
      <c r="AJ26" s="109"/>
      <c r="AL26" s="16"/>
      <c r="AM26" s="15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59" ht="12.75">
      <c r="A27" s="64" t="str">
        <f>IF(N_Fgl&gt;3,"4° figlio"," ")</f>
        <v> </v>
      </c>
      <c r="B27" s="63"/>
      <c r="C27" s="43"/>
      <c r="D27" s="63"/>
      <c r="E27" s="63"/>
      <c r="F27" s="43"/>
      <c r="G27" s="63"/>
      <c r="H27" s="63"/>
      <c r="I27" s="43"/>
      <c r="J27" s="63"/>
      <c r="K27" s="63"/>
      <c r="L27" s="66" t="str">
        <f>IF($D$22&gt;3,ROUND(AB27/12,2),Vuota1)</f>
        <v>        </v>
      </c>
      <c r="M27" s="249" t="str">
        <f>IF(N22&gt;0,IF(P24=50%,"Attenzione: la percentuale deve essere 100%",Vuota1),Vuota1)</f>
        <v>        </v>
      </c>
      <c r="N27" s="249"/>
      <c r="O27" s="249"/>
      <c r="P27" s="250"/>
      <c r="Q27" s="64" t="str">
        <f>IF(N_Fgl&gt;3,"4° figlio"," ")</f>
        <v> </v>
      </c>
      <c r="R27" s="63"/>
      <c r="S27" s="43">
        <f t="shared" si="1"/>
        <v>0</v>
      </c>
      <c r="T27" s="63"/>
      <c r="U27" s="63"/>
      <c r="V27" s="43">
        <f t="shared" si="2"/>
        <v>0</v>
      </c>
      <c r="W27" s="63"/>
      <c r="X27" s="63"/>
      <c r="Y27" s="43">
        <f t="shared" si="3"/>
        <v>0</v>
      </c>
      <c r="Z27" s="63"/>
      <c r="AA27" s="43"/>
      <c r="AB27" s="66" t="str">
        <f>IF(N_Fgl&gt;3,ROUND(dsfig*Percm,2)+IF(V27&gt;0,ROUND(dsfg3*Percm,2),0)+IF(Y27&gt;0,ROUND(dsfhc*Percm,2),0),Vuota1)</f>
        <v>        </v>
      </c>
      <c r="AC27" s="20"/>
      <c r="AD27" s="20"/>
      <c r="AE27" s="20"/>
      <c r="AF27" s="62"/>
      <c r="AI27" s="109"/>
      <c r="AJ27" s="109"/>
      <c r="AL27" s="16"/>
      <c r="AM27" s="15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59" ht="12.75">
      <c r="A28" s="64" t="str">
        <f>IF(N_Fgl&gt;4,"5° figlio"," ")</f>
        <v> </v>
      </c>
      <c r="B28" s="63"/>
      <c r="C28" s="43"/>
      <c r="D28" s="63"/>
      <c r="E28" s="63"/>
      <c r="F28" s="43"/>
      <c r="G28" s="63"/>
      <c r="H28" s="63"/>
      <c r="I28" s="43"/>
      <c r="J28" s="63"/>
      <c r="K28" s="63"/>
      <c r="L28" s="66" t="str">
        <f>IF($D$22&gt;4,ROUND(AB28/12,2),Vuota1)</f>
        <v>        </v>
      </c>
      <c r="M28" s="251"/>
      <c r="N28" s="251"/>
      <c r="O28" s="251"/>
      <c r="P28" s="252"/>
      <c r="Q28" s="64" t="str">
        <f>IF(N_Fgl&gt;4,"5° figlio"," ")</f>
        <v> </v>
      </c>
      <c r="R28" s="63"/>
      <c r="S28" s="43">
        <f t="shared" si="1"/>
        <v>0</v>
      </c>
      <c r="T28" s="63"/>
      <c r="U28" s="63"/>
      <c r="V28" s="43">
        <f t="shared" si="2"/>
        <v>0</v>
      </c>
      <c r="W28" s="63"/>
      <c r="X28" s="63"/>
      <c r="Y28" s="43">
        <f t="shared" si="3"/>
        <v>0</v>
      </c>
      <c r="Z28" s="63"/>
      <c r="AA28" s="43"/>
      <c r="AB28" s="66" t="str">
        <f>IF(N_Fgl&gt;4,ROUND(dsfig*Percm,2)+IF(V28&gt;0,ROUND(dsfg3*Percm,2),0)+IF(Y28&gt;0,ROUND(dsfhc*Percm,2),0),Vuota1)</f>
        <v>        </v>
      </c>
      <c r="AC28" s="20"/>
      <c r="AD28" s="20"/>
      <c r="AE28" s="20"/>
      <c r="AF28" s="62"/>
      <c r="AI28" s="109"/>
      <c r="AJ28" s="109"/>
      <c r="AL28" s="16"/>
      <c r="AM28" s="15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ht="12.75">
      <c r="A29" s="64" t="str">
        <f>IF(N_Fgl&gt;5,"6° figlio"," ")</f>
        <v> </v>
      </c>
      <c r="B29" s="63"/>
      <c r="C29" s="43"/>
      <c r="D29" s="63"/>
      <c r="E29" s="63"/>
      <c r="F29" s="43"/>
      <c r="G29" s="63"/>
      <c r="H29" s="63"/>
      <c r="I29" s="43"/>
      <c r="J29" s="63"/>
      <c r="K29" s="63"/>
      <c r="L29" s="66" t="str">
        <f>IF($D$22&gt;5,ROUND(AB29/12,2),Vuota1)</f>
        <v>        </v>
      </c>
      <c r="M29" s="20"/>
      <c r="N29" s="20"/>
      <c r="O29" s="20"/>
      <c r="P29" s="62"/>
      <c r="Q29" s="64" t="str">
        <f>IF(N_Fgl&gt;5,"6° figlio"," ")</f>
        <v> </v>
      </c>
      <c r="R29" s="63"/>
      <c r="S29" s="43">
        <f t="shared" si="1"/>
        <v>0</v>
      </c>
      <c r="T29" s="63"/>
      <c r="U29" s="63"/>
      <c r="V29" s="43">
        <f t="shared" si="2"/>
        <v>0</v>
      </c>
      <c r="W29" s="63"/>
      <c r="X29" s="63"/>
      <c r="Y29" s="43">
        <f t="shared" si="3"/>
        <v>0</v>
      </c>
      <c r="Z29" s="63"/>
      <c r="AA29" s="43"/>
      <c r="AB29" s="66" t="str">
        <f>IF(N_Fgl&gt;5,ROUND(dsfig*Percm,2)+IF(V29&gt;0,ROUND(dsfg3*Percm,2),0)+IF(Y29&gt;0,ROUND(dsfhc*Percm,2),0),Vuota1)</f>
        <v>        </v>
      </c>
      <c r="AC29" s="20"/>
      <c r="AD29" s="20"/>
      <c r="AE29" s="20"/>
      <c r="AF29" s="62"/>
      <c r="AI29" s="109"/>
      <c r="AJ29" s="109"/>
      <c r="AL29" s="16"/>
      <c r="AM29" s="15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</row>
    <row r="30" spans="1:59" ht="12.75">
      <c r="A30" s="64" t="str">
        <f>IF(N_Fgl&gt;6,"7° figlio"," ")</f>
        <v> </v>
      </c>
      <c r="B30" s="63"/>
      <c r="C30" s="43"/>
      <c r="D30" s="63"/>
      <c r="E30" s="63"/>
      <c r="F30" s="43"/>
      <c r="G30" s="63"/>
      <c r="H30" s="63"/>
      <c r="I30" s="43"/>
      <c r="J30" s="63"/>
      <c r="K30" s="63"/>
      <c r="L30" s="66" t="str">
        <f>IF($D$22&gt;6,ROUND(AB30/12,2),Vuota1)</f>
        <v>        </v>
      </c>
      <c r="M30" s="20"/>
      <c r="N30" s="20"/>
      <c r="O30" s="20"/>
      <c r="P30" s="62"/>
      <c r="Q30" s="64" t="str">
        <f>IF(N_Fgl&gt;6,"7° figlio"," ")</f>
        <v> </v>
      </c>
      <c r="R30" s="63"/>
      <c r="S30" s="43">
        <f t="shared" si="1"/>
        <v>0</v>
      </c>
      <c r="T30" s="63"/>
      <c r="U30" s="63"/>
      <c r="V30" s="43">
        <f t="shared" si="2"/>
        <v>0</v>
      </c>
      <c r="W30" s="63"/>
      <c r="X30" s="63"/>
      <c r="Y30" s="43">
        <f t="shared" si="3"/>
        <v>0</v>
      </c>
      <c r="Z30" s="63"/>
      <c r="AA30" s="43"/>
      <c r="AB30" s="66" t="str">
        <f>IF(N_Fgl&gt;6,ROUND(dsfig*Percm,2)+IF(V30&gt;0,ROUND(dsfg3*Percm,2),0)+IF(Y30&gt;0,ROUND(dsfhc*Percm,2),0),Vuota1)</f>
        <v>        </v>
      </c>
      <c r="AC30" s="20"/>
      <c r="AD30" s="20"/>
      <c r="AE30" s="20"/>
      <c r="AF30" s="62"/>
      <c r="AI30" s="109"/>
      <c r="AJ30" s="109"/>
      <c r="AL30" s="16"/>
      <c r="AM30" s="15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ht="12.75">
      <c r="A31" s="5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62"/>
      <c r="Q31" s="57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62"/>
      <c r="AI31" s="109"/>
      <c r="AJ31" s="109"/>
      <c r="AL31" s="16"/>
      <c r="AM31" s="15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</row>
    <row r="32" spans="1:59" ht="12.75" customHeight="1">
      <c r="A32" s="246" t="s">
        <v>89</v>
      </c>
      <c r="B32" s="247"/>
      <c r="C32" s="248"/>
      <c r="D32" s="2"/>
      <c r="E32" s="20"/>
      <c r="F32" s="63"/>
      <c r="G32" s="63"/>
      <c r="H32" s="63"/>
      <c r="I32" s="45"/>
      <c r="J32" s="20"/>
      <c r="K32" s="110" t="str">
        <f>IF(D32&gt;0,"Indicare il numero complessivo degli aventi diritto alla detrazione pro quota",Vuota1)</f>
        <v>        </v>
      </c>
      <c r="L32" s="136"/>
      <c r="M32" s="136"/>
      <c r="N32" s="136"/>
      <c r="O32" s="136"/>
      <c r="P32" s="180"/>
      <c r="Q32" s="246" t="s">
        <v>89</v>
      </c>
      <c r="R32" s="247"/>
      <c r="S32" s="248"/>
      <c r="T32" s="2">
        <f>+D32</f>
        <v>0</v>
      </c>
      <c r="U32" s="20"/>
      <c r="V32" s="63" t="str">
        <f>IF(T32&gt;0,"Mesi a carico",Vuota1)</f>
        <v>        </v>
      </c>
      <c r="W32" s="63"/>
      <c r="X32" s="63"/>
      <c r="Y32" s="45">
        <v>12</v>
      </c>
      <c r="Z32" s="20"/>
      <c r="AA32" s="110" t="str">
        <f>IF(T32&gt;0,"Indicare il numero complessivo degli aventi diritto alla detrazione pro quota",Vuota1)</f>
        <v>        </v>
      </c>
      <c r="AB32" s="136"/>
      <c r="AC32" s="136"/>
      <c r="AD32" s="136"/>
      <c r="AE32" s="136"/>
      <c r="AF32" s="180">
        <f>+P32</f>
        <v>0</v>
      </c>
      <c r="AI32" s="109"/>
      <c r="AJ32" s="109"/>
      <c r="AL32" s="16"/>
      <c r="AM32" s="15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ht="12.75">
      <c r="A33" s="80"/>
      <c r="B33" s="81"/>
      <c r="C33" s="81"/>
      <c r="D33" s="82"/>
      <c r="E33" s="20"/>
      <c r="F33" s="63"/>
      <c r="G33" s="63"/>
      <c r="H33" s="63"/>
      <c r="I33" s="45"/>
      <c r="J33" s="20"/>
      <c r="K33" s="137"/>
      <c r="L33" s="137"/>
      <c r="M33" s="137"/>
      <c r="N33" s="137"/>
      <c r="O33" s="137"/>
      <c r="P33" s="181"/>
      <c r="Q33" s="80"/>
      <c r="R33" s="81"/>
      <c r="S33" s="81"/>
      <c r="T33" s="82"/>
      <c r="U33" s="20"/>
      <c r="V33" s="63"/>
      <c r="W33" s="63"/>
      <c r="X33" s="63"/>
      <c r="Y33" s="45"/>
      <c r="Z33" s="20"/>
      <c r="AA33" s="137"/>
      <c r="AB33" s="137"/>
      <c r="AC33" s="137"/>
      <c r="AD33" s="137"/>
      <c r="AE33" s="137"/>
      <c r="AF33" s="181"/>
      <c r="AI33" s="109"/>
      <c r="AJ33" s="109"/>
      <c r="AL33" s="16"/>
      <c r="AM33" s="15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</row>
    <row r="34" spans="1:59" ht="12.75">
      <c r="A34" s="152" t="s">
        <v>73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4"/>
      <c r="Q34" s="152" t="s">
        <v>73</v>
      </c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4"/>
      <c r="AI34" s="109"/>
      <c r="AJ34" s="109"/>
      <c r="AL34" s="13">
        <v>0.0001</v>
      </c>
      <c r="AM34">
        <f>ROUND(DetrConiuge-(Ind*Rapp),2)</f>
        <v>800</v>
      </c>
      <c r="AO34">
        <f>IF(AP34&gt;0,1,0)</f>
        <v>0</v>
      </c>
      <c r="AQ34">
        <v>200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</row>
    <row r="35" spans="1:59" ht="12.75">
      <c r="A35" s="169" t="s">
        <v>34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Q35" s="169" t="s">
        <v>34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1"/>
      <c r="AH35" s="112" t="s">
        <v>64</v>
      </c>
      <c r="AI35" s="109"/>
      <c r="AJ35" s="109"/>
      <c r="AL35" s="12">
        <v>1</v>
      </c>
      <c r="AM35">
        <f>+DetrRid</f>
        <v>690</v>
      </c>
      <c r="AO35">
        <f>IF(AP35&gt;0,1,0)</f>
        <v>0</v>
      </c>
      <c r="AQ35">
        <v>1500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</row>
    <row r="36" spans="1:59" ht="12.75">
      <c r="A36" s="165" t="s">
        <v>21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3">
        <f>ROUND(AC36/12,0)</f>
        <v>0</v>
      </c>
      <c r="N36" s="20"/>
      <c r="O36" s="20"/>
      <c r="P36" s="62"/>
      <c r="Q36" s="165" t="s">
        <v>21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7"/>
      <c r="AC36" s="3">
        <f>IF(CNG="SI",ROUND((VLOOKUP(ReddNetto,ConDetr,3)+VLOOKUP(ReddNetto,LettB,3))/12*Me_co,2),0)</f>
        <v>0</v>
      </c>
      <c r="AD36" s="20"/>
      <c r="AE36" s="20"/>
      <c r="AF36" s="62"/>
      <c r="AH36" s="112"/>
      <c r="AI36" s="109"/>
      <c r="AJ36" s="109"/>
      <c r="AL36" s="12">
        <v>10</v>
      </c>
      <c r="AM36">
        <f>ROUND(DetrConiuge-(Ind*Rapp),2)</f>
        <v>800</v>
      </c>
      <c r="AO36">
        <f>SUM(AO17:AO35)</f>
        <v>0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</row>
    <row r="37" spans="1:59" ht="12.75">
      <c r="A37" s="165" t="s">
        <v>44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3">
        <f>ROUND(AC37/12,0)</f>
        <v>0</v>
      </c>
      <c r="N37" s="20"/>
      <c r="O37" s="20"/>
      <c r="P37" s="62"/>
      <c r="Q37" s="165" t="s">
        <v>44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7"/>
      <c r="AC37" s="3">
        <f>SUMIF(AB24:AB30,"&gt;0")</f>
        <v>0</v>
      </c>
      <c r="AD37" s="20"/>
      <c r="AE37" s="20"/>
      <c r="AF37" s="62"/>
      <c r="AH37" s="22">
        <f>IF(Lordo&gt;0,ROUND((VLOOKUP(ReddNetto,ConDetr,3)+VLOOKUP(ReddNetto,LettB,3)),5),0)</f>
        <v>0</v>
      </c>
      <c r="AI37" s="109"/>
      <c r="AJ37" s="12">
        <v>40000</v>
      </c>
      <c r="AM37">
        <f>+DetrRid</f>
        <v>690</v>
      </c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</row>
    <row r="38" spans="1:59" ht="12.75">
      <c r="A38" s="165" t="s">
        <v>58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3">
        <f>IF(D32&gt;0,IF(P32&gt;0,ROUND(AC38/12,0),0),0)</f>
        <v>0</v>
      </c>
      <c r="N38" s="20"/>
      <c r="O38" s="20"/>
      <c r="P38" s="62"/>
      <c r="Q38" s="165" t="s">
        <v>58</v>
      </c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7"/>
      <c r="AC38" s="3">
        <f>IF(T32&gt;0,ROUND(dsaltri*T32/12*Y32/AF32,2),0)</f>
        <v>0</v>
      </c>
      <c r="AD38" s="20"/>
      <c r="AE38" s="20"/>
      <c r="AF38" s="62"/>
      <c r="AI38" s="109"/>
      <c r="AJ38" s="109">
        <v>80000</v>
      </c>
      <c r="AL38" s="16">
        <v>0</v>
      </c>
      <c r="AM38">
        <v>0</v>
      </c>
      <c r="AP38">
        <f>IF(AO36&gt;0,IF(VLOOKUP(AP41,abi,2)&lt;DetrRid,DetrRid,VLOOKUP(AP41,abi,2)),0)</f>
        <v>0</v>
      </c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</row>
    <row r="39" spans="1:59" ht="12.7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4"/>
      <c r="Q39" s="142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4"/>
      <c r="AH39" s="112" t="s">
        <v>65</v>
      </c>
      <c r="AI39" s="109"/>
      <c r="AJ39" s="109"/>
      <c r="AL39" s="13">
        <v>0.0001</v>
      </c>
      <c r="AM39">
        <f>ROUND(DetrRid*Rap1,2)</f>
        <v>1380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ht="12.75">
      <c r="A40" s="165" t="s">
        <v>79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3">
        <f>SUM(M36:M38)</f>
        <v>0</v>
      </c>
      <c r="N40" s="20"/>
      <c r="O40" s="20"/>
      <c r="P40" s="62"/>
      <c r="Q40" s="165" t="s">
        <v>79</v>
      </c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7"/>
      <c r="AC40" s="3">
        <f>SUM(AC36:AC38)</f>
        <v>0</v>
      </c>
      <c r="AD40" s="20"/>
      <c r="AE40" s="20"/>
      <c r="AF40" s="62"/>
      <c r="AH40" s="112"/>
      <c r="AI40" s="109"/>
      <c r="AJ40" s="109"/>
      <c r="AL40" s="12">
        <v>1</v>
      </c>
      <c r="AM40">
        <f>ROUND(DetrRid*Rap1,2)</f>
        <v>1380</v>
      </c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ht="12.75">
      <c r="A41" s="152" t="s">
        <v>74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  <c r="Q41" s="152" t="s">
        <v>74</v>
      </c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4"/>
      <c r="AH41" s="85">
        <f>dsfig+IF($V$24&gt;0,dsfg3-dsfig,0)+IF($Y$24&gt;0,dsfhc,0)</f>
        <v>0</v>
      </c>
      <c r="AI41" s="109"/>
      <c r="AJ41" s="109"/>
      <c r="AL41" s="12">
        <v>10</v>
      </c>
      <c r="AM41">
        <f>ROUND(DetrRid*Rap1,2)</f>
        <v>1380</v>
      </c>
      <c r="AP41" t="s">
        <v>60</v>
      </c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ht="12.75">
      <c r="A42" s="159" t="s">
        <v>76</v>
      </c>
      <c r="B42" s="160"/>
      <c r="C42" s="160"/>
      <c r="D42" s="160"/>
      <c r="E42" s="160"/>
      <c r="F42" s="161"/>
      <c r="G42" s="46" t="str">
        <f>IF(E16&gt;0,IF(G43&gt;0,Vuota1,"x"),Vuota1)</f>
        <v>        </v>
      </c>
      <c r="H42" s="63"/>
      <c r="I42" s="162"/>
      <c r="J42" s="162"/>
      <c r="K42" s="162"/>
      <c r="L42" s="162"/>
      <c r="M42" s="45"/>
      <c r="N42" s="20"/>
      <c r="O42" s="20"/>
      <c r="P42" s="62"/>
      <c r="Q42" s="159" t="s">
        <v>76</v>
      </c>
      <c r="R42" s="160"/>
      <c r="S42" s="160"/>
      <c r="T42" s="160"/>
      <c r="U42" s="160"/>
      <c r="V42" s="161"/>
      <c r="W42" s="46" t="str">
        <f>IF(W43&gt;0,Vuota1,"x")</f>
        <v>x</v>
      </c>
      <c r="X42" s="63"/>
      <c r="Y42" s="266" t="s">
        <v>78</v>
      </c>
      <c r="Z42" s="162"/>
      <c r="AA42" s="162"/>
      <c r="AB42" s="162"/>
      <c r="AC42" s="2">
        <v>12</v>
      </c>
      <c r="AD42" s="20"/>
      <c r="AE42" s="20"/>
      <c r="AF42" s="62"/>
      <c r="AI42" s="109"/>
      <c r="AJ42" s="85">
        <v>1000000000</v>
      </c>
      <c r="AL42">
        <v>0</v>
      </c>
      <c r="AM42">
        <v>0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ht="12.75">
      <c r="A43" s="67" t="s">
        <v>77</v>
      </c>
      <c r="B43" s="68"/>
      <c r="C43" s="68"/>
      <c r="D43" s="68"/>
      <c r="E43" s="68"/>
      <c r="F43" s="20"/>
      <c r="G43" s="2"/>
      <c r="H43" s="63"/>
      <c r="I43" s="63"/>
      <c r="J43" s="63"/>
      <c r="K43" s="162" t="s">
        <v>80</v>
      </c>
      <c r="L43" s="162"/>
      <c r="M43" s="162"/>
      <c r="N43" s="163"/>
      <c r="O43" s="39">
        <f>IF(E16&gt;0,ROUND(AE43/12,0),0)</f>
        <v>0</v>
      </c>
      <c r="P43" s="62"/>
      <c r="Q43" s="67" t="s">
        <v>77</v>
      </c>
      <c r="R43" s="68"/>
      <c r="S43" s="68"/>
      <c r="T43" s="68"/>
      <c r="U43" s="68"/>
      <c r="V43" s="20"/>
      <c r="W43" s="2">
        <f>+G43</f>
        <v>0</v>
      </c>
      <c r="X43" s="63"/>
      <c r="Y43" s="63"/>
      <c r="Z43" s="63"/>
      <c r="AA43" s="162" t="s">
        <v>80</v>
      </c>
      <c r="AB43" s="162"/>
      <c r="AC43" s="162"/>
      <c r="AD43" s="163"/>
      <c r="AE43" s="39">
        <f>IF(Lordo&gt;0,IF(W43&gt;0,IF(Rnet_men&lt;8000.01,IF(AH43&gt;AH46,AH43,AH46),AH43),IF(Rnet_men&lt;8000.01,IF(AH43&gt;AH45,AH43,AH45),AH43)),0)</f>
        <v>0</v>
      </c>
      <c r="AF43" s="62"/>
      <c r="AH43">
        <f>IF(Lordo&gt;0,ROUND((VLOOKUP(Rnet_men,Altre_detraz,2)+VLOOKUP(Rnet_men,Aum_altre,2))/12*AC42,5),0)</f>
        <v>0</v>
      </c>
      <c r="AI43" s="109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ht="12.75" customHeight="1" thickBot="1">
      <c r="A44" s="6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70"/>
      <c r="Q44" s="69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70"/>
      <c r="AI44" s="109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ht="12.75" customHeight="1" thickBot="1">
      <c r="A45" s="71" t="s">
        <v>22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68">
        <f>+E16-L13</f>
        <v>0</v>
      </c>
      <c r="P45" s="168"/>
      <c r="Q45" s="71" t="s">
        <v>22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68">
        <f>+Lordo-Contributi</f>
        <v>0</v>
      </c>
      <c r="AF45" s="168"/>
      <c r="AH45" s="85">
        <v>690</v>
      </c>
      <c r="AI45" s="109"/>
      <c r="AJ45" s="85">
        <v>0.001</v>
      </c>
      <c r="AL45" s="85">
        <f>VLOOKUP(Rapp,quin,2)</f>
        <v>0</v>
      </c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12.75" customHeight="1" thickBot="1">
      <c r="A46" s="35" t="s">
        <v>62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49">
        <f>ROUND(IreTab/12,5)</f>
        <v>0</v>
      </c>
      <c r="P46" s="149"/>
      <c r="Q46" s="35" t="s">
        <v>62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49">
        <f>IF(Lordo&gt;0,ROUND((Reddito_imponibile_mensile-VLOOKUP(Reddito_imponibile_mensile,Aliquote,1))*VLOOKUP(Reddito_imponibile_mensile,Aliquote,3),5)+VLOOKUP(Reddito_imponibile_mensile,Aliquote,4),0)</f>
        <v>0</v>
      </c>
      <c r="AF46" s="149"/>
      <c r="AH46" s="85">
        <v>1380</v>
      </c>
      <c r="AI46" s="109"/>
      <c r="AJ46" s="85">
        <v>15000</v>
      </c>
      <c r="AL46" s="85">
        <f>+DetrRid</f>
        <v>690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13.5" thickBot="1">
      <c r="A47" s="37" t="s">
        <v>38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49">
        <f>+M40+O43</f>
        <v>0</v>
      </c>
      <c r="P47" s="149"/>
      <c r="Q47" s="37" t="s">
        <v>38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49">
        <f>+AC40+AE43</f>
        <v>0</v>
      </c>
      <c r="AF47" s="149"/>
      <c r="AI47" s="109"/>
      <c r="AJ47" s="85">
        <v>40000</v>
      </c>
      <c r="AL47" s="85">
        <f>VLOOKUP(Rap1,ottan,2)</f>
        <v>1380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</row>
    <row r="48" spans="1:59" ht="16.5" thickBot="1">
      <c r="A48" s="71" t="s">
        <v>93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47">
        <f>IF(O46-O47&gt;0,O46-O47,0)</f>
        <v>0</v>
      </c>
      <c r="P48" s="148"/>
      <c r="Q48" s="71" t="s">
        <v>63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147">
        <f>+AE46-AE47</f>
        <v>0</v>
      </c>
      <c r="AF48" s="148"/>
      <c r="AI48" s="109"/>
      <c r="AJ48" s="85">
        <v>80000</v>
      </c>
      <c r="AL48" s="85">
        <v>0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ht="12.75">
      <c r="A49" s="7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73"/>
      <c r="Q49" s="72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73"/>
      <c r="AI49" s="109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7:59" ht="12.75">
      <c r="Q50" s="5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62"/>
      <c r="AI50" s="109"/>
      <c r="AJ50" s="86">
        <v>0</v>
      </c>
      <c r="AL50">
        <v>0</v>
      </c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7:59" ht="13.5">
      <c r="Q51" s="155" t="s">
        <v>23</v>
      </c>
      <c r="R51" s="156"/>
      <c r="S51" s="156"/>
      <c r="T51" s="157"/>
      <c r="U51" s="150" t="s">
        <v>24</v>
      </c>
      <c r="V51" s="158"/>
      <c r="W51" s="151"/>
      <c r="X51" s="150" t="s">
        <v>25</v>
      </c>
      <c r="Y51" s="158"/>
      <c r="Z51" s="151"/>
      <c r="AA51" s="150" t="s">
        <v>26</v>
      </c>
      <c r="AB51" s="151"/>
      <c r="AC51" s="52" t="s">
        <v>27</v>
      </c>
      <c r="AD51" s="150" t="s">
        <v>28</v>
      </c>
      <c r="AE51" s="151"/>
      <c r="AF51" s="62"/>
      <c r="AI51" s="109"/>
      <c r="AJ51" s="86">
        <v>29000.01</v>
      </c>
      <c r="AL51">
        <v>10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7:59" ht="12.75">
      <c r="Q52" s="150" t="s">
        <v>29</v>
      </c>
      <c r="R52" s="158"/>
      <c r="S52" s="158"/>
      <c r="T52" s="151"/>
      <c r="U52" s="53"/>
      <c r="V52" s="2">
        <v>1.4</v>
      </c>
      <c r="W52" s="53"/>
      <c r="X52" s="145">
        <f>+ReddNetto</f>
        <v>0</v>
      </c>
      <c r="Y52" s="164"/>
      <c r="Z52" s="146"/>
      <c r="AA52" s="145">
        <f>ROUND(X52*V52%,2)</f>
        <v>0</v>
      </c>
      <c r="AB52" s="146"/>
      <c r="AC52" s="2">
        <v>10</v>
      </c>
      <c r="AD52" s="145">
        <f>ROUND(AA52/AC52,2)</f>
        <v>0</v>
      </c>
      <c r="AE52" s="146"/>
      <c r="AF52" s="62"/>
      <c r="AI52" s="109"/>
      <c r="AJ52" s="86">
        <v>29200.01</v>
      </c>
      <c r="AL52">
        <v>20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7:59" ht="12.75">
      <c r="Q53" s="150" t="s">
        <v>30</v>
      </c>
      <c r="R53" s="158"/>
      <c r="S53" s="158"/>
      <c r="T53" s="151"/>
      <c r="U53" s="53"/>
      <c r="V53" s="2">
        <v>0.4</v>
      </c>
      <c r="W53" s="53"/>
      <c r="X53" s="145">
        <f>+ReddNetto</f>
        <v>0</v>
      </c>
      <c r="Y53" s="164"/>
      <c r="Z53" s="146"/>
      <c r="AA53" s="145">
        <f>ROUND(X53*V53%,2)</f>
        <v>0</v>
      </c>
      <c r="AB53" s="146"/>
      <c r="AC53" s="52" t="s">
        <v>27</v>
      </c>
      <c r="AD53" s="150" t="s">
        <v>28</v>
      </c>
      <c r="AE53" s="151"/>
      <c r="AF53" s="62"/>
      <c r="AI53" s="109"/>
      <c r="AJ53" s="86">
        <v>34700.01</v>
      </c>
      <c r="AL53">
        <v>30</v>
      </c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7:59" ht="12.75">
      <c r="Q54" s="233" t="s">
        <v>90</v>
      </c>
      <c r="R54" s="233"/>
      <c r="S54" s="84">
        <v>16</v>
      </c>
      <c r="T54" s="233" t="s">
        <v>91</v>
      </c>
      <c r="U54" s="233"/>
      <c r="V54" s="233"/>
      <c r="W54" s="233"/>
      <c r="X54" s="234" t="s">
        <v>92</v>
      </c>
      <c r="Y54" s="234"/>
      <c r="Z54" s="50" t="s">
        <v>82</v>
      </c>
      <c r="AA54" s="51"/>
      <c r="AB54" s="39">
        <f>ROUND(AA53*30%,2)</f>
        <v>0</v>
      </c>
      <c r="AC54" s="2">
        <v>10</v>
      </c>
      <c r="AD54" s="145">
        <f>ROUND(AB54/AC54,2)</f>
        <v>0</v>
      </c>
      <c r="AE54" s="146"/>
      <c r="AF54" s="62"/>
      <c r="AI54" s="109"/>
      <c r="AJ54" s="86">
        <v>35000.01</v>
      </c>
      <c r="AL54">
        <v>20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7:59" ht="12.75">
      <c r="Q55" s="5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62"/>
      <c r="AI55" s="109"/>
      <c r="AJ55" s="86">
        <v>35100.01</v>
      </c>
      <c r="AL55">
        <v>10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7:59" ht="12.75" customHeight="1">
      <c r="Q56" s="5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62"/>
      <c r="AI56" s="109"/>
      <c r="AJ56" s="86">
        <v>35200.01</v>
      </c>
      <c r="AL56">
        <v>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7:59" ht="12.75">
      <c r="Q57" s="74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35:39" ht="12.75">
      <c r="AI58" t="s">
        <v>48</v>
      </c>
      <c r="AJ58" s="19" t="s">
        <v>49</v>
      </c>
      <c r="AK58" s="141" t="s">
        <v>54</v>
      </c>
      <c r="AL58" s="18" t="s">
        <v>50</v>
      </c>
      <c r="AM58" s="18" t="s">
        <v>55</v>
      </c>
    </row>
    <row r="59" spans="36:39" ht="12.75">
      <c r="AJ59" s="86">
        <v>95000</v>
      </c>
      <c r="AK59" s="141"/>
      <c r="AL59" s="85">
        <v>15000</v>
      </c>
      <c r="AM59" s="85">
        <f>IF(AK60&gt;1,ROUND((AK60-1)*AL59,2)+AJ59,AJ59)</f>
        <v>95000</v>
      </c>
    </row>
    <row r="60" spans="36:41" ht="12.75">
      <c r="AJ60" s="18" t="s">
        <v>57</v>
      </c>
      <c r="AK60">
        <f>+N_Fgl</f>
        <v>0</v>
      </c>
      <c r="AL60" s="18" t="s">
        <v>56</v>
      </c>
      <c r="AM60" s="18" t="s">
        <v>47</v>
      </c>
      <c r="AN60" s="18"/>
      <c r="AO60" s="18" t="s">
        <v>43</v>
      </c>
    </row>
    <row r="61" spans="35:44" ht="12.75">
      <c r="AI61" t="s">
        <v>53</v>
      </c>
      <c r="AJ61" s="85">
        <f>IF(Som_fg&gt;3,1000,800)</f>
        <v>800</v>
      </c>
      <c r="AL61" s="85">
        <f>ROUND(fgl*VLOOKUP($AO$61,IndRapp,2),2)</f>
        <v>0</v>
      </c>
      <c r="AM61" s="16">
        <v>0</v>
      </c>
      <c r="AN61">
        <v>0</v>
      </c>
      <c r="AO61" s="83">
        <f>ROUND((ImFisFin-ReddNetto)/ImFisFin,6)</f>
        <v>1</v>
      </c>
      <c r="AQ61">
        <f>+dsfig</f>
        <v>0</v>
      </c>
      <c r="AR61">
        <f>+AQ61</f>
        <v>0</v>
      </c>
    </row>
    <row r="62" spans="35:44" ht="12.75">
      <c r="AI62" t="s">
        <v>51</v>
      </c>
      <c r="AJ62" s="85">
        <f>IF(Som_fg&gt;3,1100,900)</f>
        <v>900</v>
      </c>
      <c r="AL62" s="85">
        <f>ROUND(AJ62*VLOOKUP($AO$61,IndRapp,2),2)</f>
        <v>0</v>
      </c>
      <c r="AM62" s="13">
        <v>0.0001</v>
      </c>
      <c r="AN62">
        <f>+AO61</f>
        <v>1</v>
      </c>
      <c r="AQ62">
        <f>+dsfg3</f>
        <v>0</v>
      </c>
      <c r="AR62">
        <f>+AQ62</f>
        <v>0</v>
      </c>
    </row>
    <row r="63" spans="35:44" ht="12.75">
      <c r="AI63" t="s">
        <v>52</v>
      </c>
      <c r="AJ63" s="85">
        <v>220</v>
      </c>
      <c r="AL63" s="85">
        <f>ROUND(fglh*VLOOKUP($AO$61,IndRapp,2),2)</f>
        <v>0</v>
      </c>
      <c r="AM63" s="12">
        <v>1</v>
      </c>
      <c r="AN63">
        <v>0</v>
      </c>
      <c r="AQ63">
        <f>+dsfhc</f>
        <v>0</v>
      </c>
      <c r="AR63">
        <f>+AQ63</f>
        <v>0</v>
      </c>
    </row>
    <row r="64" spans="38:40" ht="12.75">
      <c r="AL64" s="85"/>
      <c r="AM64" s="12">
        <v>10</v>
      </c>
      <c r="AN64">
        <f>+AO61</f>
        <v>1</v>
      </c>
    </row>
    <row r="65" spans="35:38" ht="12.75">
      <c r="AI65" t="s">
        <v>59</v>
      </c>
      <c r="AJ65">
        <v>750</v>
      </c>
      <c r="AL65" s="85">
        <f>ROUND(Altri*VLOOKUP(AO66,Rapp_Altri,2),4)</f>
        <v>0</v>
      </c>
    </row>
    <row r="66" ht="12.75">
      <c r="AO66" s="83">
        <f>TRUNC((80000-ReddNetto)/80000,6)</f>
        <v>1</v>
      </c>
    </row>
    <row r="67" spans="35:41" ht="12.75">
      <c r="AI67" t="s">
        <v>75</v>
      </c>
      <c r="AL67" t="s">
        <v>43</v>
      </c>
      <c r="AN67" s="16">
        <v>0</v>
      </c>
      <c r="AO67">
        <v>0</v>
      </c>
    </row>
    <row r="68" spans="35:41" ht="12.75">
      <c r="AI68" s="85">
        <v>1</v>
      </c>
      <c r="AJ68" s="85">
        <v>1840</v>
      </c>
      <c r="AL68" s="83">
        <f>IF(ROUND((15000-ReddNetto)/7000,6)&gt;0,ROUND((15000-ReddNetto)/7000,6),0)</f>
        <v>2.142857</v>
      </c>
      <c r="AN68" s="13">
        <v>0.0001</v>
      </c>
      <c r="AO68" s="83">
        <f>+AO66</f>
        <v>1</v>
      </c>
    </row>
    <row r="69" spans="35:41" ht="12.75">
      <c r="AI69" s="85">
        <v>8000.01</v>
      </c>
      <c r="AJ69" s="85">
        <f>1338+ROUND(502*AL68,2)</f>
        <v>2413.71</v>
      </c>
      <c r="AL69">
        <f>ROUND((55000-ReddNetto)/40000,6)</f>
        <v>1.375</v>
      </c>
      <c r="AN69" s="12">
        <v>1</v>
      </c>
      <c r="AO69">
        <v>0</v>
      </c>
    </row>
    <row r="70" spans="35:41" ht="12.75">
      <c r="AI70" s="85">
        <v>15000.01</v>
      </c>
      <c r="AJ70" s="85">
        <f>ROUND(1338*AL69,2)</f>
        <v>1839.75</v>
      </c>
      <c r="AN70" s="12">
        <v>10</v>
      </c>
      <c r="AO70" s="83">
        <f>+AO66</f>
        <v>1</v>
      </c>
    </row>
    <row r="71" spans="35:41" ht="12.75">
      <c r="AI71" s="85">
        <v>55000.01</v>
      </c>
      <c r="AJ71" s="85">
        <v>0</v>
      </c>
      <c r="AN71" s="12"/>
      <c r="AO71" s="83"/>
    </row>
    <row r="72" spans="35:36" ht="12.75">
      <c r="AI72" s="85">
        <v>100000000</v>
      </c>
      <c r="AJ72" s="85">
        <v>0</v>
      </c>
    </row>
    <row r="74" spans="35:36" ht="12.75">
      <c r="AI74" s="86">
        <v>0</v>
      </c>
      <c r="AJ74">
        <v>0</v>
      </c>
    </row>
    <row r="75" spans="35:36" ht="12.75">
      <c r="AI75" s="86">
        <v>23000.01</v>
      </c>
      <c r="AJ75">
        <v>10</v>
      </c>
    </row>
    <row r="76" spans="35:36" ht="12.75">
      <c r="AI76" s="86">
        <v>24000.01</v>
      </c>
      <c r="AJ76">
        <v>20</v>
      </c>
    </row>
    <row r="77" spans="35:36" ht="12.75">
      <c r="AI77" s="86">
        <v>25000.01</v>
      </c>
      <c r="AJ77">
        <v>30</v>
      </c>
    </row>
    <row r="78" spans="35:36" ht="12.75">
      <c r="AI78" s="86">
        <v>26000.01</v>
      </c>
      <c r="AJ78">
        <v>40</v>
      </c>
    </row>
    <row r="79" spans="35:36" ht="12.75">
      <c r="AI79" s="86">
        <v>27700.01</v>
      </c>
      <c r="AJ79">
        <v>25</v>
      </c>
    </row>
    <row r="80" spans="1:36" ht="12.75">
      <c r="A80" s="4"/>
      <c r="AI80" s="86">
        <v>28000.01</v>
      </c>
      <c r="AJ80">
        <v>0</v>
      </c>
    </row>
    <row r="108" ht="12.75" hidden="1"/>
    <row r="109" ht="12.75" hidden="1"/>
    <row r="110" ht="12.75" hidden="1">
      <c r="A110" s="4" t="s">
        <v>105</v>
      </c>
    </row>
    <row r="111" ht="12.75" hidden="1"/>
    <row r="123" ht="12.75">
      <c r="A123" s="98"/>
    </row>
  </sheetData>
  <sheetProtection password="BE24" sheet="1" objects="1" scenarios="1" selectLockedCells="1"/>
  <mergeCells count="140">
    <mergeCell ref="C6:G6"/>
    <mergeCell ref="A6:B6"/>
    <mergeCell ref="I6:K6"/>
    <mergeCell ref="M6:P6"/>
    <mergeCell ref="O46:P46"/>
    <mergeCell ref="A38:L38"/>
    <mergeCell ref="A39:P39"/>
    <mergeCell ref="A40:L40"/>
    <mergeCell ref="A41:P41"/>
    <mergeCell ref="A34:P34"/>
    <mergeCell ref="A35:P35"/>
    <mergeCell ref="O47:P47"/>
    <mergeCell ref="O48:P48"/>
    <mergeCell ref="A42:F42"/>
    <mergeCell ref="I42:L42"/>
    <mergeCell ref="K43:N43"/>
    <mergeCell ref="O45:P45"/>
    <mergeCell ref="A36:L36"/>
    <mergeCell ref="A37:L37"/>
    <mergeCell ref="H23:J23"/>
    <mergeCell ref="M24:O26"/>
    <mergeCell ref="P24:P26"/>
    <mergeCell ref="A32:C32"/>
    <mergeCell ref="K32:O33"/>
    <mergeCell ref="P32:P33"/>
    <mergeCell ref="E13:G13"/>
    <mergeCell ref="H13:K13"/>
    <mergeCell ref="E14:G14"/>
    <mergeCell ref="E15:G15"/>
    <mergeCell ref="E11:G11"/>
    <mergeCell ref="H11:K11"/>
    <mergeCell ref="E12:G12"/>
    <mergeCell ref="H12:K12"/>
    <mergeCell ref="E9:G9"/>
    <mergeCell ref="H9:K9"/>
    <mergeCell ref="E10:G10"/>
    <mergeCell ref="H10:K10"/>
    <mergeCell ref="A7:G7"/>
    <mergeCell ref="H7:L7"/>
    <mergeCell ref="E8:G8"/>
    <mergeCell ref="H8:K8"/>
    <mergeCell ref="D5:I5"/>
    <mergeCell ref="J5:L5"/>
    <mergeCell ref="N5:P5"/>
    <mergeCell ref="A1:P1"/>
    <mergeCell ref="A2:P2"/>
    <mergeCell ref="A3:P3"/>
    <mergeCell ref="J4:K4"/>
    <mergeCell ref="Q1:AF1"/>
    <mergeCell ref="Q2:AF2"/>
    <mergeCell ref="AF32:AF33"/>
    <mergeCell ref="U15:W15"/>
    <mergeCell ref="Q7:W7"/>
    <mergeCell ref="Q6:S6"/>
    <mergeCell ref="Q19:AF19"/>
    <mergeCell ref="U10:W10"/>
    <mergeCell ref="U11:W11"/>
    <mergeCell ref="U12:W12"/>
    <mergeCell ref="AH35:AH36"/>
    <mergeCell ref="AH39:AH40"/>
    <mergeCell ref="AI1:AL1"/>
    <mergeCell ref="AI12:AM12"/>
    <mergeCell ref="AI18:AI56"/>
    <mergeCell ref="AJ18:AJ36"/>
    <mergeCell ref="AJ38:AJ41"/>
    <mergeCell ref="Q3:AF3"/>
    <mergeCell ref="T5:Y5"/>
    <mergeCell ref="Z5:AB5"/>
    <mergeCell ref="AK58:AK59"/>
    <mergeCell ref="Q39:AF39"/>
    <mergeCell ref="AA53:AB53"/>
    <mergeCell ref="AE48:AF48"/>
    <mergeCell ref="AE46:AF46"/>
    <mergeCell ref="AA51:AB51"/>
    <mergeCell ref="AD52:AE52"/>
    <mergeCell ref="AD54:AE54"/>
    <mergeCell ref="AD53:AE53"/>
    <mergeCell ref="Q41:AF41"/>
    <mergeCell ref="Q51:T51"/>
    <mergeCell ref="AA52:AB52"/>
    <mergeCell ref="X52:Z52"/>
    <mergeCell ref="U51:W51"/>
    <mergeCell ref="Q52:T52"/>
    <mergeCell ref="Q53:T53"/>
    <mergeCell ref="Q54:R54"/>
    <mergeCell ref="AD51:AE51"/>
    <mergeCell ref="AE47:AF47"/>
    <mergeCell ref="AE45:AF45"/>
    <mergeCell ref="Y42:AB42"/>
    <mergeCell ref="AA43:AD43"/>
    <mergeCell ref="X51:Z51"/>
    <mergeCell ref="U8:W8"/>
    <mergeCell ref="X8:AA8"/>
    <mergeCell ref="Q35:AF35"/>
    <mergeCell ref="AF24:AF26"/>
    <mergeCell ref="R23:T23"/>
    <mergeCell ref="U23:W23"/>
    <mergeCell ref="X23:Z23"/>
    <mergeCell ref="Q34:AF34"/>
    <mergeCell ref="AC24:AE26"/>
    <mergeCell ref="AA32:AE33"/>
    <mergeCell ref="X53:Z53"/>
    <mergeCell ref="U16:W16"/>
    <mergeCell ref="Q40:AB40"/>
    <mergeCell ref="Q37:AB37"/>
    <mergeCell ref="Q36:AB36"/>
    <mergeCell ref="Q32:S32"/>
    <mergeCell ref="Q20:S20"/>
    <mergeCell ref="Q42:V42"/>
    <mergeCell ref="Q38:AB38"/>
    <mergeCell ref="Z4:AA4"/>
    <mergeCell ref="V6:Z6"/>
    <mergeCell ref="AB6:AC6"/>
    <mergeCell ref="U13:W13"/>
    <mergeCell ref="X11:AA11"/>
    <mergeCell ref="X9:AA9"/>
    <mergeCell ref="X10:AA10"/>
    <mergeCell ref="X13:AA13"/>
    <mergeCell ref="U9:W9"/>
    <mergeCell ref="X7:AB7"/>
    <mergeCell ref="T54:W54"/>
    <mergeCell ref="X54:Y54"/>
    <mergeCell ref="AU1:AW2"/>
    <mergeCell ref="AU7:AW11"/>
    <mergeCell ref="AU4:AW4"/>
    <mergeCell ref="AU5:AW5"/>
    <mergeCell ref="AU3:AW3"/>
    <mergeCell ref="X12:AA12"/>
    <mergeCell ref="T6:U6"/>
    <mergeCell ref="AD5:AF5"/>
    <mergeCell ref="AU15:AW22"/>
    <mergeCell ref="A15:D15"/>
    <mergeCell ref="A14:D14"/>
    <mergeCell ref="M27:P28"/>
    <mergeCell ref="U14:W14"/>
    <mergeCell ref="E16:G16"/>
    <mergeCell ref="A19:P19"/>
    <mergeCell ref="A20:C20"/>
    <mergeCell ref="B23:D23"/>
    <mergeCell ref="E23:G23"/>
  </mergeCells>
  <conditionalFormatting sqref="Z26">
    <cfRule type="expression" priority="1" dxfId="0" stopIfTrue="1">
      <formula>$T$22&gt;2</formula>
    </cfRule>
  </conditionalFormatting>
  <conditionalFormatting sqref="Z27">
    <cfRule type="expression" priority="2" dxfId="0" stopIfTrue="1">
      <formula>$T$22&gt;3</formula>
    </cfRule>
  </conditionalFormatting>
  <conditionalFormatting sqref="Z28">
    <cfRule type="expression" priority="3" dxfId="0" stopIfTrue="1">
      <formula>$T$22&gt;4</formula>
    </cfRule>
  </conditionalFormatting>
  <conditionalFormatting sqref="Z29">
    <cfRule type="expression" priority="4" dxfId="0" stopIfTrue="1">
      <formula>$T$22&gt;5</formula>
    </cfRule>
  </conditionalFormatting>
  <conditionalFormatting sqref="Z30">
    <cfRule type="expression" priority="5" dxfId="0" stopIfTrue="1">
      <formula>$T$22&gt;6</formula>
    </cfRule>
  </conditionalFormatting>
  <conditionalFormatting sqref="AB24">
    <cfRule type="expression" priority="6" dxfId="1" stopIfTrue="1">
      <formula>$T$22&gt;0</formula>
    </cfRule>
  </conditionalFormatting>
  <conditionalFormatting sqref="AB25">
    <cfRule type="expression" priority="7" dxfId="1" stopIfTrue="1">
      <formula>$T$22&gt;1</formula>
    </cfRule>
  </conditionalFormatting>
  <conditionalFormatting sqref="AB26">
    <cfRule type="expression" priority="8" dxfId="1" stopIfTrue="1">
      <formula>$T$22&gt;2</formula>
    </cfRule>
  </conditionalFormatting>
  <conditionalFormatting sqref="AB27">
    <cfRule type="expression" priority="9" dxfId="1" stopIfTrue="1">
      <formula>$T$22&gt;3</formula>
    </cfRule>
  </conditionalFormatting>
  <conditionalFormatting sqref="AB28">
    <cfRule type="expression" priority="10" dxfId="1" stopIfTrue="1">
      <formula>$T$22&gt;4</formula>
    </cfRule>
  </conditionalFormatting>
  <conditionalFormatting sqref="AB29">
    <cfRule type="expression" priority="11" dxfId="1" stopIfTrue="1">
      <formula>$T$22&gt;5</formula>
    </cfRule>
  </conditionalFormatting>
  <conditionalFormatting sqref="AB30">
    <cfRule type="expression" priority="12" dxfId="1" stopIfTrue="1">
      <formula>$T$22&gt;6</formula>
    </cfRule>
  </conditionalFormatting>
  <conditionalFormatting sqref="Q25">
    <cfRule type="expression" priority="13" dxfId="2" stopIfTrue="1">
      <formula>$T$22&gt;1</formula>
    </cfRule>
  </conditionalFormatting>
  <conditionalFormatting sqref="Q24 T24 W24 Z24 G24 D24">
    <cfRule type="expression" priority="14" dxfId="2" stopIfTrue="1">
      <formula>$T$22&gt;0</formula>
    </cfRule>
  </conditionalFormatting>
  <conditionalFormatting sqref="R24">
    <cfRule type="expression" priority="15" dxfId="3" stopIfTrue="1">
      <formula>$T$22&gt;0</formula>
    </cfRule>
  </conditionalFormatting>
  <conditionalFormatting sqref="U24 X24 E24 H24">
    <cfRule type="expression" priority="16" dxfId="4" stopIfTrue="1">
      <formula>$T$22&gt;0</formula>
    </cfRule>
  </conditionalFormatting>
  <conditionalFormatting sqref="Y20">
    <cfRule type="expression" priority="17" dxfId="5" stopIfTrue="1">
      <formula>$T$20="si"</formula>
    </cfRule>
  </conditionalFormatting>
  <conditionalFormatting sqref="AD22 AA24 C24 F24 I24 V24:V30 S24:S30 Y24:Y30">
    <cfRule type="expression" priority="18" dxfId="5" stopIfTrue="1">
      <formula>$T$22&gt;0</formula>
    </cfRule>
  </conditionalFormatting>
  <conditionalFormatting sqref="AF22">
    <cfRule type="expression" priority="19" dxfId="5" stopIfTrue="1">
      <formula>$AD$22&gt;0</formula>
    </cfRule>
  </conditionalFormatting>
  <conditionalFormatting sqref="F25 C25 I25 AA25">
    <cfRule type="expression" priority="20" dxfId="5" stopIfTrue="1">
      <formula>$T$22&gt;1</formula>
    </cfRule>
  </conditionalFormatting>
  <conditionalFormatting sqref="F26 C26 I26 AA26">
    <cfRule type="expression" priority="21" dxfId="5" stopIfTrue="1">
      <formula>$T$22&gt;2</formula>
    </cfRule>
  </conditionalFormatting>
  <conditionalFormatting sqref="F27 C27 I27 AA27">
    <cfRule type="expression" priority="22" dxfId="5" stopIfTrue="1">
      <formula>$T$22&gt;3</formula>
    </cfRule>
  </conditionalFormatting>
  <conditionalFormatting sqref="F28 C28 I28 AA28">
    <cfRule type="expression" priority="23" dxfId="5" stopIfTrue="1">
      <formula>$T$22&gt;4</formula>
    </cfRule>
  </conditionalFormatting>
  <conditionalFormatting sqref="AA29">
    <cfRule type="expression" priority="24" dxfId="5" stopIfTrue="1">
      <formula>$T$22&gt;5</formula>
    </cfRule>
  </conditionalFormatting>
  <conditionalFormatting sqref="AA30">
    <cfRule type="expression" priority="25" dxfId="5" stopIfTrue="1">
      <formula>$T$22&gt;6</formula>
    </cfRule>
  </conditionalFormatting>
  <conditionalFormatting sqref="Y33">
    <cfRule type="expression" priority="26" dxfId="5" stopIfTrue="1">
      <formula>$T$32="si"</formula>
    </cfRule>
  </conditionalFormatting>
  <conditionalFormatting sqref="Y32 AF32:AF33 P32:P33">
    <cfRule type="expression" priority="27" dxfId="5" stopIfTrue="1">
      <formula>$T$32&gt;0</formula>
    </cfRule>
  </conditionalFormatting>
  <conditionalFormatting sqref="AA32:AE33 K32:O33">
    <cfRule type="expression" priority="28" dxfId="1" stopIfTrue="1">
      <formula>$T$32&gt;0</formula>
    </cfRule>
  </conditionalFormatting>
  <conditionalFormatting sqref="R25 T25:U25 W25:X25 Z25 G25:H25 D25:E25">
    <cfRule type="expression" priority="29" dxfId="3" stopIfTrue="1">
      <formula>$T$22&gt;1</formula>
    </cfRule>
  </conditionalFormatting>
  <conditionalFormatting sqref="R26 T26:U26 W26:X26 G26:H26 D26:E26">
    <cfRule type="expression" priority="30" dxfId="3" stopIfTrue="1">
      <formula>$T$22&gt;2</formula>
    </cfRule>
  </conditionalFormatting>
  <conditionalFormatting sqref="Q26">
    <cfRule type="expression" priority="31" dxfId="2" stopIfTrue="1">
      <formula>$T$22&gt;2</formula>
    </cfRule>
  </conditionalFormatting>
  <conditionalFormatting sqref="Q27">
    <cfRule type="expression" priority="32" dxfId="2" stopIfTrue="1">
      <formula>$T$22&gt;3</formula>
    </cfRule>
  </conditionalFormatting>
  <conditionalFormatting sqref="R27 T27:U27 W27:X27 G27:H27 D27:E27">
    <cfRule type="expression" priority="33" dxfId="3" stopIfTrue="1">
      <formula>$T$22&gt;3</formula>
    </cfRule>
  </conditionalFormatting>
  <conditionalFormatting sqref="Q28">
    <cfRule type="expression" priority="34" dxfId="2" stopIfTrue="1">
      <formula>$T$22&gt;4</formula>
    </cfRule>
  </conditionalFormatting>
  <conditionalFormatting sqref="R28 T28:U28 W28:X28 G28:H28 D28:E28">
    <cfRule type="expression" priority="35" dxfId="3" stopIfTrue="1">
      <formula>$T$22&gt;4</formula>
    </cfRule>
  </conditionalFormatting>
  <conditionalFormatting sqref="Q29">
    <cfRule type="expression" priority="36" dxfId="2" stopIfTrue="1">
      <formula>$T$22&gt;5</formula>
    </cfRule>
  </conditionalFormatting>
  <conditionalFormatting sqref="R29 T29:U29 W29:X29">
    <cfRule type="expression" priority="37" dxfId="3" stopIfTrue="1">
      <formula>$T$22&gt;5</formula>
    </cfRule>
  </conditionalFormatting>
  <conditionalFormatting sqref="Q30">
    <cfRule type="expression" priority="38" dxfId="2" stopIfTrue="1">
      <formula>$T$22&gt;6</formula>
    </cfRule>
  </conditionalFormatting>
  <conditionalFormatting sqref="R30 T30:U30 W30:X30">
    <cfRule type="expression" priority="39" dxfId="3" stopIfTrue="1">
      <formula>$T$22&gt;6</formula>
    </cfRule>
  </conditionalFormatting>
  <conditionalFormatting sqref="L24">
    <cfRule type="expression" priority="40" dxfId="1" stopIfTrue="1">
      <formula>$D$22&gt;0</formula>
    </cfRule>
  </conditionalFormatting>
  <conditionalFormatting sqref="N22">
    <cfRule type="expression" priority="41" dxfId="5" stopIfTrue="1">
      <formula>$D$22&gt;0</formula>
    </cfRule>
  </conditionalFormatting>
  <conditionalFormatting sqref="C29 F29 I29">
    <cfRule type="expression" priority="42" dxfId="5" stopIfTrue="1">
      <formula>$D$22&gt;5</formula>
    </cfRule>
  </conditionalFormatting>
  <conditionalFormatting sqref="C30 F30 I30">
    <cfRule type="expression" priority="43" dxfId="5" stopIfTrue="1">
      <formula>$D$22&gt;6</formula>
    </cfRule>
  </conditionalFormatting>
  <conditionalFormatting sqref="I33">
    <cfRule type="expression" priority="44" dxfId="5" stopIfTrue="1">
      <formula>$D$32="si"</formula>
    </cfRule>
  </conditionalFormatting>
  <conditionalFormatting sqref="A29">
    <cfRule type="expression" priority="45" dxfId="2" stopIfTrue="1">
      <formula>$D$22&gt;5</formula>
    </cfRule>
  </conditionalFormatting>
  <conditionalFormatting sqref="G29:H29 D29:E29 B29">
    <cfRule type="expression" priority="46" dxfId="3" stopIfTrue="1">
      <formula>$D$22&gt;5</formula>
    </cfRule>
  </conditionalFormatting>
  <conditionalFormatting sqref="A30">
    <cfRule type="expression" priority="47" dxfId="2" stopIfTrue="1">
      <formula>$D$22&gt;6</formula>
    </cfRule>
  </conditionalFormatting>
  <conditionalFormatting sqref="G30:H30 D30:E30 B30">
    <cfRule type="expression" priority="48" dxfId="3" stopIfTrue="1">
      <formula>$D$22&gt;6</formula>
    </cfRule>
  </conditionalFormatting>
  <conditionalFormatting sqref="J24:K24">
    <cfRule type="expression" priority="49" dxfId="3" stopIfTrue="1">
      <formula>$T$22&gt;0</formula>
    </cfRule>
  </conditionalFormatting>
  <conditionalFormatting sqref="J25:K25">
    <cfRule type="expression" priority="50" dxfId="3" stopIfTrue="1">
      <formula>$T$22&gt;1</formula>
    </cfRule>
  </conditionalFormatting>
  <conditionalFormatting sqref="J26:K26">
    <cfRule type="expression" priority="51" dxfId="3" stopIfTrue="1">
      <formula>$T$22&gt;2</formula>
    </cfRule>
  </conditionalFormatting>
  <conditionalFormatting sqref="J27:K27">
    <cfRule type="expression" priority="52" dxfId="3" stopIfTrue="1">
      <formula>$T$22&gt;3</formula>
    </cfRule>
  </conditionalFormatting>
  <conditionalFormatting sqref="J28:K28">
    <cfRule type="expression" priority="53" dxfId="3" stopIfTrue="1">
      <formula>$T$22&gt;4</formula>
    </cfRule>
  </conditionalFormatting>
  <conditionalFormatting sqref="J29:K29">
    <cfRule type="expression" priority="54" dxfId="3" stopIfTrue="1">
      <formula>$D$22&gt;5</formula>
    </cfRule>
  </conditionalFormatting>
  <conditionalFormatting sqref="J30:K30">
    <cfRule type="expression" priority="55" dxfId="3" stopIfTrue="1">
      <formula>$D$22&gt;6</formula>
    </cfRule>
  </conditionalFormatting>
  <conditionalFormatting sqref="A25">
    <cfRule type="expression" priority="56" dxfId="2" stopIfTrue="1">
      <formula>$D$22&gt;1</formula>
    </cfRule>
  </conditionalFormatting>
  <conditionalFormatting sqref="A24">
    <cfRule type="expression" priority="57" dxfId="2" stopIfTrue="1">
      <formula>$D$22&gt;0</formula>
    </cfRule>
  </conditionalFormatting>
  <conditionalFormatting sqref="B24">
    <cfRule type="expression" priority="58" dxfId="3" stopIfTrue="1">
      <formula>$D$22&gt;0</formula>
    </cfRule>
  </conditionalFormatting>
  <conditionalFormatting sqref="B25">
    <cfRule type="expression" priority="59" dxfId="3" stopIfTrue="1">
      <formula>$D$22&gt;1</formula>
    </cfRule>
  </conditionalFormatting>
  <conditionalFormatting sqref="B26">
    <cfRule type="expression" priority="60" dxfId="3" stopIfTrue="1">
      <formula>$D$22&gt;2</formula>
    </cfRule>
  </conditionalFormatting>
  <conditionalFormatting sqref="A26">
    <cfRule type="expression" priority="61" dxfId="2" stopIfTrue="1">
      <formula>$D$22&gt;2</formula>
    </cfRule>
  </conditionalFormatting>
  <conditionalFormatting sqref="A27">
    <cfRule type="expression" priority="62" dxfId="2" stopIfTrue="1">
      <formula>$D$22&gt;3</formula>
    </cfRule>
  </conditionalFormatting>
  <conditionalFormatting sqref="B27">
    <cfRule type="expression" priority="63" dxfId="3" stopIfTrue="1">
      <formula>$D$22&gt;3</formula>
    </cfRule>
  </conditionalFormatting>
  <conditionalFormatting sqref="A28">
    <cfRule type="expression" priority="64" dxfId="2" stopIfTrue="1">
      <formula>$D$22&gt;4</formula>
    </cfRule>
  </conditionalFormatting>
  <conditionalFormatting sqref="B28">
    <cfRule type="expression" priority="65" dxfId="3" stopIfTrue="1">
      <formula>$D$22&gt;4</formula>
    </cfRule>
  </conditionalFormatting>
  <conditionalFormatting sqref="L26">
    <cfRule type="expression" priority="66" dxfId="1" stopIfTrue="1">
      <formula>$D$22&gt;2</formula>
    </cfRule>
  </conditionalFormatting>
  <conditionalFormatting sqref="L27">
    <cfRule type="expression" priority="67" dxfId="1" stopIfTrue="1">
      <formula>$D$22&gt;3</formula>
    </cfRule>
  </conditionalFormatting>
  <conditionalFormatting sqref="L28">
    <cfRule type="expression" priority="68" dxfId="1" stopIfTrue="1">
      <formula>$D$22&gt;4</formula>
    </cfRule>
  </conditionalFormatting>
  <conditionalFormatting sqref="L29">
    <cfRule type="expression" priority="69" dxfId="1" stopIfTrue="1">
      <formula>$D$22&gt;5</formula>
    </cfRule>
  </conditionalFormatting>
  <conditionalFormatting sqref="L30">
    <cfRule type="expression" priority="70" dxfId="1" stopIfTrue="1">
      <formula>$D$22&gt;6</formula>
    </cfRule>
  </conditionalFormatting>
  <conditionalFormatting sqref="L25">
    <cfRule type="expression" priority="71" dxfId="1" stopIfTrue="1">
      <formula>$D$22&gt;1</formula>
    </cfRule>
  </conditionalFormatting>
  <printOptions/>
  <pageMargins left="0.1968503937007874" right="0" top="0.984251968503937" bottom="0.5905511811023623" header="0.5118110236220472" footer="0.5118110236220472"/>
  <pageSetup blackAndWhite="1" horizontalDpi="360" verticalDpi="36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50"/>
  <sheetViews>
    <sheetView workbookViewId="0" topLeftCell="A1">
      <selection activeCell="E2" sqref="E2:F3"/>
    </sheetView>
  </sheetViews>
  <sheetFormatPr defaultColWidth="9.33203125" defaultRowHeight="12.75"/>
  <cols>
    <col min="3" max="3" width="15.66015625" style="0" bestFit="1" customWidth="1"/>
    <col min="7" max="7" width="11.66015625" style="0" customWidth="1"/>
  </cols>
  <sheetData>
    <row r="1" spans="1:29" ht="13.5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3.5" thickTop="1">
      <c r="A2" s="92"/>
      <c r="B2" s="92"/>
      <c r="C2" s="92"/>
      <c r="D2" s="92"/>
      <c r="E2" s="276">
        <v>2007</v>
      </c>
      <c r="F2" s="277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3.5" thickBot="1">
      <c r="A3" s="92"/>
      <c r="B3" s="92"/>
      <c r="C3" s="92"/>
      <c r="D3" s="92"/>
      <c r="E3" s="278"/>
      <c r="F3" s="279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16.5" thickTop="1">
      <c r="A4" s="92"/>
      <c r="B4" s="92"/>
      <c r="C4" s="283" t="s">
        <v>112</v>
      </c>
      <c r="D4" s="284"/>
      <c r="E4" s="203" t="s">
        <v>102</v>
      </c>
      <c r="F4" s="205"/>
      <c r="G4" s="285" t="s">
        <v>106</v>
      </c>
      <c r="H4" s="286"/>
      <c r="I4" s="287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5.75">
      <c r="A5" s="92"/>
      <c r="B5" s="92"/>
      <c r="C5" s="93" t="s">
        <v>99</v>
      </c>
      <c r="D5" s="94" t="s">
        <v>20</v>
      </c>
      <c r="E5" s="206"/>
      <c r="F5" s="208"/>
      <c r="G5" s="280" t="s">
        <v>109</v>
      </c>
      <c r="H5" s="281" t="s">
        <v>107</v>
      </c>
      <c r="I5" s="282" t="s">
        <v>108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2.75">
      <c r="A6" s="92"/>
      <c r="B6" s="92"/>
      <c r="C6" s="90">
        <v>15000</v>
      </c>
      <c r="D6" s="95">
        <v>0.23</v>
      </c>
      <c r="E6" s="206"/>
      <c r="F6" s="208"/>
      <c r="G6" s="280"/>
      <c r="H6" s="281"/>
      <c r="I6" s="28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12.75">
      <c r="A7" s="92"/>
      <c r="B7" s="92"/>
      <c r="C7" s="90">
        <v>28000</v>
      </c>
      <c r="D7" s="96">
        <v>0.27</v>
      </c>
      <c r="E7" s="206"/>
      <c r="F7" s="208"/>
      <c r="G7" s="280" t="s">
        <v>110</v>
      </c>
      <c r="H7" s="281" t="s">
        <v>111</v>
      </c>
      <c r="I7" s="282" t="s">
        <v>111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2.75">
      <c r="A8" s="92"/>
      <c r="B8" s="92"/>
      <c r="C8" s="90">
        <v>55000</v>
      </c>
      <c r="D8" s="96">
        <v>0.38</v>
      </c>
      <c r="E8" s="206"/>
      <c r="F8" s="208"/>
      <c r="G8" s="280"/>
      <c r="H8" s="281"/>
      <c r="I8" s="28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12.75">
      <c r="A9" s="92"/>
      <c r="B9" s="92"/>
      <c r="C9" s="90">
        <v>75000</v>
      </c>
      <c r="D9" s="96">
        <v>0.41</v>
      </c>
      <c r="E9" s="206"/>
      <c r="F9" s="208"/>
      <c r="G9" s="270">
        <v>0.025</v>
      </c>
      <c r="H9" s="272">
        <v>0.0885</v>
      </c>
      <c r="I9" s="274">
        <v>0.0035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1:29" ht="13.5" thickBot="1">
      <c r="A10" s="92"/>
      <c r="B10" s="92"/>
      <c r="C10" s="91" t="s">
        <v>100</v>
      </c>
      <c r="D10" s="97">
        <v>0.43</v>
      </c>
      <c r="E10" s="206"/>
      <c r="F10" s="208"/>
      <c r="G10" s="271"/>
      <c r="H10" s="273"/>
      <c r="I10" s="275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</row>
    <row r="11" spans="1:29" ht="13.5" thickTop="1">
      <c r="A11" s="92"/>
      <c r="B11" s="92"/>
      <c r="C11" s="100"/>
      <c r="D11" s="101"/>
      <c r="E11" s="206"/>
      <c r="F11" s="208"/>
      <c r="G11" s="104"/>
      <c r="H11" s="105"/>
      <c r="I11" s="10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12.75">
      <c r="A12" s="92"/>
      <c r="B12" s="92"/>
      <c r="C12" s="100"/>
      <c r="D12" s="101"/>
      <c r="E12" s="206"/>
      <c r="F12" s="208"/>
      <c r="G12" s="100"/>
      <c r="H12" s="101"/>
      <c r="I12" s="107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1:29" ht="12.75">
      <c r="A13" s="92"/>
      <c r="B13" s="92"/>
      <c r="C13" s="100"/>
      <c r="D13" s="101"/>
      <c r="E13" s="206"/>
      <c r="F13" s="208"/>
      <c r="G13" s="100"/>
      <c r="H13" s="101"/>
      <c r="I13" s="107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ht="12.75">
      <c r="A14" s="92"/>
      <c r="B14" s="92"/>
      <c r="C14" s="100"/>
      <c r="D14" s="101"/>
      <c r="E14" s="206"/>
      <c r="F14" s="208"/>
      <c r="G14" s="100"/>
      <c r="H14" s="101"/>
      <c r="I14" s="107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</row>
    <row r="15" spans="1:29" ht="12.75" customHeight="1" thickBot="1">
      <c r="A15" s="92"/>
      <c r="B15" s="92"/>
      <c r="C15" s="102"/>
      <c r="D15" s="103"/>
      <c r="E15" s="209"/>
      <c r="F15" s="211"/>
      <c r="G15" s="102"/>
      <c r="H15" s="103"/>
      <c r="I15" s="108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ht="13.5" thickTop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ht="12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29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</row>
    <row r="22" spans="1:29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1:29" ht="12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1:29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ht="12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ht="12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  <row r="29" spans="1:29" ht="12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29" ht="12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29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1:29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29" ht="12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ht="12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ht="12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1:29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1:29" ht="12.7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1:29" ht="12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ht="12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1:29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19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</sheetData>
  <sheetProtection sheet="1" objects="1" scenarios="1" selectLockedCells="1"/>
  <mergeCells count="13">
    <mergeCell ref="C4:D4"/>
    <mergeCell ref="G4:I4"/>
    <mergeCell ref="G5:G6"/>
    <mergeCell ref="H5:H6"/>
    <mergeCell ref="I5:I6"/>
    <mergeCell ref="G9:G10"/>
    <mergeCell ref="H9:H10"/>
    <mergeCell ref="I9:I10"/>
    <mergeCell ref="E2:F3"/>
    <mergeCell ref="E4:F15"/>
    <mergeCell ref="G7:G8"/>
    <mergeCell ref="H7:H8"/>
    <mergeCell ref="I7:I8"/>
  </mergeCells>
  <printOptions/>
  <pageMargins left="0.75" right="0.75" top="1" bottom="1" header="0.5" footer="0.5"/>
  <pageSetup horizontalDpi="360" verticalDpi="36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Angelo</cp:lastModifiedBy>
  <cp:lastPrinted>2007-01-29T10:16:55Z</cp:lastPrinted>
  <dcterms:created xsi:type="dcterms:W3CDTF">2006-11-12T17:44:09Z</dcterms:created>
  <dcterms:modified xsi:type="dcterms:W3CDTF">2007-02-07T04:26:02Z</dcterms:modified>
  <cp:category/>
  <cp:version/>
  <cp:contentType/>
  <cp:contentStatus/>
</cp:coreProperties>
</file>