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445" activeTab="0"/>
  </bookViews>
  <sheets>
    <sheet name="Inserimento dati" sheetId="1" r:id="rId1"/>
    <sheet name="Stipendio tabellare e aliquote " sheetId="2" r:id="rId2"/>
    <sheet name="Note Compilazione" sheetId="3" r:id="rId3"/>
  </sheets>
  <definedNames>
    <definedName name="al">'Inserimento dati'!$E$12</definedName>
    <definedName name="Anno">'Stipendio tabellare e aliquote '!$X$27:$Y$32</definedName>
    <definedName name="Area">'Inserimento dati'!$E$4</definedName>
    <definedName name="_xlnm.Print_Area" localSheetId="0">'Inserimento dati'!$A$1:$Q$33</definedName>
    <definedName name="Area1">'Inserimento dati'!$U$12</definedName>
    <definedName name="Bravo">'Inserimento dati'!$U$12</definedName>
    <definedName name="CF">'Inserimento dati'!$L$4</definedName>
    <definedName name="dal">'Inserimento dati'!$D$12</definedName>
    <definedName name="dper">'Inserimento dati'!$I$22</definedName>
    <definedName name="gapt">'Inserimento dati'!$O$5</definedName>
    <definedName name="ggritre">'Inserimento dati'!$O$25</definedName>
    <definedName name="giorni">'Inserimento dati'!$Q$40</definedName>
    <definedName name="gmpt">'Inserimento dati'!$O$6</definedName>
    <definedName name="gratif">'Inserimento dati'!$J$25</definedName>
    <definedName name="gratifma">'Inserimento dati'!$Q$25</definedName>
    <definedName name="Mater">'Inserimento dati'!$U$15</definedName>
    <definedName name="Mese">'Stipendio tabellare e aliquote '!$Z$26:$AA$38</definedName>
    <definedName name="pt">'Inserimento dati'!$J$5</definedName>
    <definedName name="ria">'Inserimento dati'!$P$4</definedName>
    <definedName name="ript">'Inserimento dati'!$K$6</definedName>
    <definedName name="sodisc">'Inserimento dati'!$B$23</definedName>
    <definedName name="Stipendi">'Stipendio tabellare e aliquote '!$B$8:$R$19</definedName>
    <definedName name="TabStip">'Stipendio tabellare e aliquote '!$A$8:$R$19</definedName>
    <definedName name="tratt">'Inserimento dati'!$E$5</definedName>
    <definedName name="vuota">'Inserimento dati'!$AB$5</definedName>
    <definedName name="Vuota1">'Inserimento dati'!$AJ$5</definedName>
  </definedNames>
  <calcPr fullCalcOnLoad="1"/>
</workbook>
</file>

<file path=xl/comments1.xml><?xml version="1.0" encoding="utf-8"?>
<comments xmlns="http://schemas.openxmlformats.org/spreadsheetml/2006/main">
  <authors>
    <author>Peppe</author>
    <author>rizzog</author>
    <author> </author>
    <author>GRizzo</author>
  </authors>
  <commentList>
    <comment ref="J5" authorId="0">
      <text>
        <r>
          <rPr>
            <b/>
            <sz val="8"/>
            <color indexed="10"/>
            <rFont val="Times New Roman"/>
            <family val="1"/>
          </rPr>
          <t xml:space="preserve">Peppe:
Se in part-time verticale indicare SI nella cella
</t>
        </r>
      </text>
    </comment>
    <comment ref="E5" authorId="0">
      <text>
        <r>
          <rPr>
            <b/>
            <sz val="9"/>
            <color indexed="10"/>
            <rFont val="Times New Roman"/>
            <family val="1"/>
          </rPr>
          <t>Peppe:
Indicare TFS   o   TFR</t>
        </r>
      </text>
    </comment>
    <comment ref="B17" authorId="0">
      <text>
        <r>
          <rPr>
            <b/>
            <sz val="8"/>
            <color indexed="10"/>
            <rFont val="Times New Roman"/>
            <family val="1"/>
          </rPr>
          <t>Peppe:
Indicare SI se l'emolumento arretrato sconta il contributo TFS o TFR</t>
        </r>
      </text>
    </comment>
    <comment ref="B19" authorId="0">
      <text>
        <r>
          <rPr>
            <b/>
            <sz val="8"/>
            <color indexed="10"/>
            <rFont val="Times New Roman"/>
            <family val="1"/>
          </rPr>
          <t>Peppe:
Indicare SI se l'emolumento arretrato sconta il contributo TFS o TFR</t>
        </r>
      </text>
    </comment>
    <comment ref="B20" authorId="0">
      <text>
        <r>
          <rPr>
            <b/>
            <sz val="8"/>
            <color indexed="10"/>
            <rFont val="Times New Roman"/>
            <family val="1"/>
          </rPr>
          <t>Peppe:
Indicare SI se l'emolumento arretrato sconta il contributo TFS o TFR</t>
        </r>
      </text>
    </comment>
    <comment ref="Q16" authorId="0">
      <text>
        <r>
          <rPr>
            <b/>
            <sz val="8"/>
            <color indexed="10"/>
            <rFont val="Times New Roman"/>
            <family val="1"/>
          </rPr>
          <t>Peppe:
Importo eccedente il tetto per l'anno corrente</t>
        </r>
      </text>
    </comment>
    <comment ref="Q19" authorId="0">
      <text>
        <r>
          <rPr>
            <b/>
            <sz val="8"/>
            <color indexed="10"/>
            <rFont val="Times New Roman"/>
            <family val="1"/>
          </rPr>
          <t>Peppe:
Importo eccedente il tetto per gli anni precedenti</t>
        </r>
      </text>
    </comment>
    <comment ref="K6" authorId="1">
      <text>
        <r>
          <rPr>
            <b/>
            <sz val="8"/>
            <color indexed="10"/>
            <rFont val="Tahoma"/>
            <family val="2"/>
          </rPr>
          <t>Peppe:
Indicare la percentuale di riduzione della prestazione lavorativa come da PDG ministeriale</t>
        </r>
      </text>
    </comment>
    <comment ref="O6" authorId="1">
      <text>
        <r>
          <rPr>
            <b/>
            <sz val="8"/>
            <color indexed="10"/>
            <rFont val="Tahoma"/>
            <family val="2"/>
          </rPr>
          <t>Peppe:
Indicare i giorni di presenza del periodo di riferimento della DMA</t>
        </r>
      </text>
    </comment>
    <comment ref="O5" authorId="1">
      <text>
        <r>
          <rPr>
            <b/>
            <sz val="8"/>
            <color indexed="10"/>
            <rFont val="Tahoma"/>
            <family val="2"/>
          </rPr>
          <t>Peppe:
Indicare i giorni di presenza nell'anno solare</t>
        </r>
      </text>
    </comment>
    <comment ref="E4" authorId="2">
      <text>
        <r>
          <rPr>
            <b/>
            <i/>
            <sz val="10"/>
            <color indexed="10"/>
            <rFont val="Times New Roman"/>
            <family val="1"/>
          </rPr>
          <t xml:space="preserve"> Peppe:
Indicare C3, C2, C1S, C1, B3S, B3</t>
        </r>
      </text>
    </comment>
    <comment ref="A27" authorId="3">
      <text>
        <r>
          <rPr>
            <b/>
            <i/>
            <sz val="8"/>
            <color indexed="10"/>
            <rFont val="Tahoma"/>
            <family val="2"/>
          </rPr>
          <t>GRizzo:
Inserire il Codice Fiscale dell'Unep</t>
        </r>
      </text>
    </comment>
    <comment ref="D53" authorId="3">
      <text>
        <r>
          <rPr>
            <i/>
            <sz val="8"/>
            <color indexed="10"/>
            <rFont val="Tahoma"/>
            <family val="2"/>
          </rPr>
          <t>GRizzo:</t>
        </r>
        <r>
          <rPr>
            <b/>
            <sz val="8"/>
            <color indexed="10"/>
            <rFont val="Tahoma"/>
            <family val="2"/>
          </rPr>
          <t xml:space="preserve">
Mese</t>
        </r>
      </text>
    </comment>
    <comment ref="E53" authorId="3">
      <text>
        <r>
          <rPr>
            <i/>
            <sz val="8"/>
            <color indexed="10"/>
            <rFont val="Tahoma"/>
            <family val="2"/>
          </rPr>
          <t>GRizzo:</t>
        </r>
        <r>
          <rPr>
            <b/>
            <sz val="8"/>
            <color indexed="10"/>
            <rFont val="Tahoma"/>
            <family val="2"/>
          </rPr>
          <t xml:space="preserve">
Anno</t>
        </r>
      </text>
    </comment>
    <comment ref="H53" authorId="3">
      <text>
        <r>
          <rPr>
            <i/>
            <sz val="8"/>
            <color indexed="10"/>
            <rFont val="Tahoma"/>
            <family val="2"/>
          </rPr>
          <t>GRizzo:</t>
        </r>
        <r>
          <rPr>
            <b/>
            <sz val="8"/>
            <color indexed="10"/>
            <rFont val="Tahoma"/>
            <family val="2"/>
          </rPr>
          <t xml:space="preserve">
Indicare il codice
11   per    Riscatto ai fini pensionistici
12   per    Ricongiunzione
13   per    Riscatto ai fini TFS
14   per    Mutuo (non va ancora valorizzato)
15   per    Prestito (non va ancora valorizzato)
28   per    Riscatto ai fini TFR
</t>
        </r>
      </text>
    </comment>
    <comment ref="J53" authorId="3">
      <text>
        <r>
          <rPr>
            <i/>
            <sz val="8"/>
            <color indexed="10"/>
            <rFont val="Tahoma"/>
            <family val="2"/>
          </rPr>
          <t>GRizzo:</t>
        </r>
        <r>
          <rPr>
            <b/>
            <sz val="8"/>
            <color indexed="10"/>
            <rFont val="Tahoma"/>
            <family val="2"/>
          </rPr>
          <t xml:space="preserve">
Indicare l'importo della quota di ammortamento</t>
        </r>
      </text>
    </comment>
    <comment ref="K53" authorId="3">
      <text>
        <r>
          <rPr>
            <i/>
            <sz val="8"/>
            <color indexed="10"/>
            <rFont val="Tahoma"/>
            <family val="2"/>
          </rPr>
          <t>GRizzo:</t>
        </r>
        <r>
          <rPr>
            <b/>
            <sz val="8"/>
            <color indexed="10"/>
            <rFont val="Tahoma"/>
            <family val="2"/>
          </rPr>
          <t xml:space="preserve">
Indicare l'importo di eventuali sanzioni</t>
        </r>
      </text>
    </comment>
    <comment ref="L53" authorId="3">
      <text>
        <r>
          <rPr>
            <i/>
            <sz val="8"/>
            <color indexed="10"/>
            <rFont val="Tahoma"/>
            <family val="2"/>
          </rPr>
          <t>GRizzo:</t>
        </r>
        <r>
          <rPr>
            <b/>
            <sz val="8"/>
            <color indexed="10"/>
            <rFont val="Tahoma"/>
            <family val="2"/>
          </rPr>
          <t xml:space="preserve">
Indicare il codice:
4    per    CPUG
7    per    TFS/TFR
9   per     F.C.</t>
        </r>
      </text>
    </comment>
    <comment ref="M53" authorId="3">
      <text>
        <r>
          <rPr>
            <i/>
            <sz val="8"/>
            <color indexed="10"/>
            <rFont val="Tahoma"/>
            <family val="2"/>
          </rPr>
          <t>GRizzo</t>
        </r>
        <r>
          <rPr>
            <b/>
            <sz val="8"/>
            <color indexed="10"/>
            <rFont val="Tahoma"/>
            <family val="2"/>
          </rPr>
          <t xml:space="preserve">
Indicare il codice fiscale dell'ufficio NEP solo se si trasmette la dichiarazione a mezzo intermediario</t>
        </r>
      </text>
    </comment>
    <comment ref="I53" authorId="3">
      <text>
        <r>
          <rPr>
            <i/>
            <sz val="8"/>
            <color indexed="10"/>
            <rFont val="Tahoma"/>
            <family val="2"/>
          </rPr>
          <t>GRizzo:</t>
        </r>
        <r>
          <rPr>
            <b/>
            <sz val="8"/>
            <color indexed="10"/>
            <rFont val="Tahoma"/>
            <family val="2"/>
          </rPr>
          <t xml:space="preserve">
Indicare la data di scadenza del piano di ammortamento</t>
        </r>
      </text>
    </comment>
    <comment ref="H57" authorId="3">
      <text>
        <r>
          <rPr>
            <i/>
            <sz val="8"/>
            <color indexed="10"/>
            <rFont val="Tahoma"/>
            <family val="2"/>
          </rPr>
          <t>GRizzo:</t>
        </r>
        <r>
          <rPr>
            <b/>
            <sz val="8"/>
            <color indexed="10"/>
            <rFont val="Tahoma"/>
            <family val="2"/>
          </rPr>
          <t xml:space="preserve">
Indicare il codice
11   per    Riscatto ai fini pensionistici
12   per    Ricongiunzione
13   per    Riscatto ai fini TFS
14   per    Mutuo (non va ancora valorizzato)
15   per    Prestito (non va ancora valorizzato)
28   per    Riscatto ai fini TFR
</t>
        </r>
      </text>
    </comment>
    <comment ref="I57" authorId="3">
      <text>
        <r>
          <rPr>
            <i/>
            <sz val="8"/>
            <color indexed="10"/>
            <rFont val="Tahoma"/>
            <family val="2"/>
          </rPr>
          <t>GRizzo:</t>
        </r>
        <r>
          <rPr>
            <b/>
            <sz val="8"/>
            <color indexed="10"/>
            <rFont val="Tahoma"/>
            <family val="2"/>
          </rPr>
          <t xml:space="preserve">
Indicare la data di scadenza del piano di ammortamento</t>
        </r>
      </text>
    </comment>
    <comment ref="J57" authorId="3">
      <text>
        <r>
          <rPr>
            <i/>
            <sz val="8"/>
            <color indexed="10"/>
            <rFont val="Tahoma"/>
            <family val="2"/>
          </rPr>
          <t>GRizzo:</t>
        </r>
        <r>
          <rPr>
            <b/>
            <sz val="8"/>
            <color indexed="10"/>
            <rFont val="Tahoma"/>
            <family val="2"/>
          </rPr>
          <t xml:space="preserve">
Indicare l'importo della quota di ammortamento</t>
        </r>
      </text>
    </comment>
    <comment ref="K57" authorId="3">
      <text>
        <r>
          <rPr>
            <i/>
            <sz val="8"/>
            <color indexed="10"/>
            <rFont val="Tahoma"/>
            <family val="2"/>
          </rPr>
          <t>GRizzo:</t>
        </r>
        <r>
          <rPr>
            <b/>
            <sz val="8"/>
            <color indexed="10"/>
            <rFont val="Tahoma"/>
            <family val="2"/>
          </rPr>
          <t xml:space="preserve">
Indicare l'importo di eventuali sanzioni</t>
        </r>
      </text>
    </comment>
    <comment ref="L57" authorId="3">
      <text>
        <r>
          <rPr>
            <i/>
            <sz val="8"/>
            <color indexed="10"/>
            <rFont val="Tahoma"/>
            <family val="2"/>
          </rPr>
          <t>GRizzo:</t>
        </r>
        <r>
          <rPr>
            <b/>
            <sz val="8"/>
            <color indexed="10"/>
            <rFont val="Tahoma"/>
            <family val="2"/>
          </rPr>
          <t xml:space="preserve">
Indicare il codice:
4    per    CPUG
7    per    TFS/TFR
9   per     F.C.</t>
        </r>
      </text>
    </comment>
    <comment ref="M57" authorId="3">
      <text>
        <r>
          <rPr>
            <i/>
            <sz val="8"/>
            <color indexed="10"/>
            <rFont val="Tahoma"/>
            <family val="2"/>
          </rPr>
          <t>GRizzo</t>
        </r>
        <r>
          <rPr>
            <b/>
            <sz val="8"/>
            <color indexed="10"/>
            <rFont val="Tahoma"/>
            <family val="2"/>
          </rPr>
          <t xml:space="preserve">
Indicare il codice fiscale dell'ufficio NEP solo se si trasmette la dichiarazione a mezzo intermediario</t>
        </r>
      </text>
    </comment>
    <comment ref="D57" authorId="3">
      <text>
        <r>
          <rPr>
            <i/>
            <sz val="8"/>
            <color indexed="10"/>
            <rFont val="Tahoma"/>
            <family val="2"/>
          </rPr>
          <t>GRizzo:</t>
        </r>
        <r>
          <rPr>
            <b/>
            <sz val="8"/>
            <color indexed="10"/>
            <rFont val="Tahoma"/>
            <family val="2"/>
          </rPr>
          <t xml:space="preserve">
Mese</t>
        </r>
      </text>
    </comment>
    <comment ref="E57" authorId="3">
      <text>
        <r>
          <rPr>
            <i/>
            <sz val="8"/>
            <color indexed="10"/>
            <rFont val="Tahoma"/>
            <family val="2"/>
          </rPr>
          <t>GRizzo:</t>
        </r>
        <r>
          <rPr>
            <b/>
            <sz val="8"/>
            <color indexed="10"/>
            <rFont val="Tahoma"/>
            <family val="2"/>
          </rPr>
          <t xml:space="preserve">
Anno</t>
        </r>
      </text>
    </comment>
  </commentList>
</comments>
</file>

<file path=xl/sharedStrings.xml><?xml version="1.0" encoding="utf-8"?>
<sst xmlns="http://schemas.openxmlformats.org/spreadsheetml/2006/main" count="367" uniqueCount="207">
  <si>
    <t>U.N.E.P. TERMINI IMERESE - DIRIGENZA</t>
  </si>
  <si>
    <t>Ufficiale Giudiziario</t>
  </si>
  <si>
    <t>C1</t>
  </si>
  <si>
    <t>C.F.:</t>
  </si>
  <si>
    <t>R.I.A.</t>
  </si>
  <si>
    <t>Indennità Amministrazione</t>
  </si>
  <si>
    <t>Percentuale</t>
  </si>
  <si>
    <t>Trasferte</t>
  </si>
  <si>
    <t>Periodo</t>
  </si>
  <si>
    <t>dal</t>
  </si>
  <si>
    <t>al</t>
  </si>
  <si>
    <t>Importo</t>
  </si>
  <si>
    <t>C3</t>
  </si>
  <si>
    <t>C2</t>
  </si>
  <si>
    <t>C1S</t>
  </si>
  <si>
    <t>B3S</t>
  </si>
  <si>
    <t>B3</t>
  </si>
  <si>
    <t>Annuale</t>
  </si>
  <si>
    <t>Mensile</t>
  </si>
  <si>
    <t>Stipendio</t>
  </si>
  <si>
    <t>Ind. Amm.ne mensile</t>
  </si>
  <si>
    <t>C.P.U.G.</t>
  </si>
  <si>
    <t>A carico dipendente</t>
  </si>
  <si>
    <t>Aliquote contributive</t>
  </si>
  <si>
    <t>Natura</t>
  </si>
  <si>
    <t>Fondo di Credito</t>
  </si>
  <si>
    <t>Regime TFS</t>
  </si>
  <si>
    <t>Ind. Int. Spec.Mens Conglobata</t>
  </si>
  <si>
    <t>A carico Ammin.ne</t>
  </si>
  <si>
    <t>Regime TFR</t>
  </si>
  <si>
    <t>TFS   (su 80 %)</t>
  </si>
  <si>
    <t>TFR   (su 80 %)</t>
  </si>
  <si>
    <t>Regime trattamento di fine rapporto</t>
  </si>
  <si>
    <t>Totale</t>
  </si>
  <si>
    <t>TFS  /   TFR</t>
  </si>
  <si>
    <t>DMA</t>
  </si>
  <si>
    <t>Frontespizio</t>
  </si>
  <si>
    <t xml:space="preserve">C.F. Amministrazione appartenenza </t>
  </si>
  <si>
    <t>Forma Giuridica</t>
  </si>
  <si>
    <t>Codice ATECO</t>
  </si>
  <si>
    <t>Denominazione</t>
  </si>
  <si>
    <t>MINISTERO DELLA GIUSTIZIA Via Arenula 70 - 00186 Roma - callcenter@giustizia.it</t>
  </si>
  <si>
    <t>Campo 1</t>
  </si>
  <si>
    <t>Campo 2</t>
  </si>
  <si>
    <t>Campo 3</t>
  </si>
  <si>
    <t>Campo 4</t>
  </si>
  <si>
    <t>Campo 5</t>
  </si>
  <si>
    <t>Campo 7</t>
  </si>
  <si>
    <t>Campo 8</t>
  </si>
  <si>
    <t>Campo 9</t>
  </si>
  <si>
    <t>Campo 11</t>
  </si>
  <si>
    <t>Campo 12</t>
  </si>
  <si>
    <t>Part-time verticale</t>
  </si>
  <si>
    <t>Campo 13</t>
  </si>
  <si>
    <t>Campo 14</t>
  </si>
  <si>
    <t>Campo 15</t>
  </si>
  <si>
    <t>Campo 26</t>
  </si>
  <si>
    <t>Campo 27</t>
  </si>
  <si>
    <t>Campo 32</t>
  </si>
  <si>
    <t>Campo 33</t>
  </si>
  <si>
    <t>Campo 34</t>
  </si>
  <si>
    <t>Campo 35</t>
  </si>
  <si>
    <t>Campo 36</t>
  </si>
  <si>
    <t>Campo 39</t>
  </si>
  <si>
    <t>Campo 40</t>
  </si>
  <si>
    <t>Campo 43</t>
  </si>
  <si>
    <t>Campo 44</t>
  </si>
  <si>
    <t>Causale variazione</t>
  </si>
  <si>
    <t>Campo 24: Codice aliquota</t>
  </si>
  <si>
    <t>Natura emolumento</t>
  </si>
  <si>
    <t>A carico Ammin.one</t>
  </si>
  <si>
    <t>Da nascondere</t>
  </si>
  <si>
    <t>Totali stipendio</t>
  </si>
  <si>
    <t>Eventuale importo eccedente il limite del tetto retributivo che comporta un ulteriore 1% CPUG a carico del dipendente</t>
  </si>
  <si>
    <t>Annuale Intero o Part-time</t>
  </si>
  <si>
    <t>Limite tetto retributivo</t>
  </si>
  <si>
    <t>Part-time</t>
  </si>
  <si>
    <t>Riduzione</t>
  </si>
  <si>
    <t>Prestazione</t>
  </si>
  <si>
    <t>Col nascosta</t>
  </si>
  <si>
    <t>TFS    TFR     SI     NO</t>
  </si>
  <si>
    <t xml:space="preserve">                              Sezione II</t>
  </si>
  <si>
    <t>Rigo 61</t>
  </si>
  <si>
    <t>Tipo Contrib</t>
  </si>
  <si>
    <t>Codice Fiscale</t>
  </si>
  <si>
    <t>Cod. INPDAP</t>
  </si>
  <si>
    <t>Codice Mef</t>
  </si>
  <si>
    <t>Imponibile</t>
  </si>
  <si>
    <t>Importo Dovuto</t>
  </si>
  <si>
    <t>Rigo 62</t>
  </si>
  <si>
    <t>COMPILAZIONE D.M.A.</t>
  </si>
  <si>
    <t>05</t>
  </si>
  <si>
    <t>01</t>
  </si>
  <si>
    <t>Campo 37A</t>
  </si>
  <si>
    <t>00000</t>
  </si>
  <si>
    <t>Non dovuta</t>
  </si>
  <si>
    <t>Arr.ti anno corrente (Access.)</t>
  </si>
  <si>
    <t>Arr.ti anno corrente (Fisso)</t>
  </si>
  <si>
    <t>Arr.ti anni precedenti (Fisso)</t>
  </si>
  <si>
    <t>Arr.ti anni precedenti (Acces)</t>
  </si>
  <si>
    <t>Importi Tabellari</t>
  </si>
  <si>
    <t>Area</t>
  </si>
  <si>
    <t>Annuale Intero</t>
  </si>
  <si>
    <t>Dati relativi all'Amministrazione</t>
  </si>
  <si>
    <t>Quadro E0</t>
  </si>
  <si>
    <t xml:space="preserve">                              Sezione I</t>
  </si>
  <si>
    <t>Quadro V1</t>
  </si>
  <si>
    <t>Giorni lavoro annuale</t>
  </si>
  <si>
    <t>Giorni lavoro mensile</t>
  </si>
  <si>
    <t>%</t>
  </si>
  <si>
    <t>Giuseppe Rizzo - Dirigente Unep Termini Imerese</t>
  </si>
  <si>
    <t>giuseppe.rizzo03@giustizia.it</t>
  </si>
  <si>
    <t xml:space="preserve">E' possibile inserire i dati nelle celle evidenziate in </t>
  </si>
  <si>
    <t>giallo</t>
  </si>
  <si>
    <t>Nelle celle dei campi 43 e 44 evidenziate in</t>
  </si>
  <si>
    <t>il calcolo è automatico, ma è possibile modificarlo (la cella non è bloccata)</t>
  </si>
  <si>
    <t>Il criterio è quello previsto dalla procedura INPDAP per il calcolo della CPUG ed Opera di Previdenza: il contributo viene calcolato sull'importo tabellare e non sul percepito</t>
  </si>
  <si>
    <t>Allo stesso modo sviluppa le voci stipendiali, ai fini contributivi, a seconda del regime di trattamento di fine rapporto: basta inserire nella cella D7 la voce     TFS   o   TFR;</t>
  </si>
  <si>
    <t>Si ricorda che è in regime di TFR il lavoratore pubblico dipendente assunto dopo il 31/12/2000 .</t>
  </si>
  <si>
    <t xml:space="preserve">Sempre in automatico viene sviluppato lo stipendio ai fini contributivi per il dipendente in part-time: basta inserire i dati richiesti nelle celle corrispondenti. I dati della </t>
  </si>
  <si>
    <t>(Vedi anche Circolare Ministero del Tesoro – Ragioneria Generale dello Stato – n. 010265 CM 29/11/1975, in riferimento alla L. 324/1959 art. 7 e L 177/76 art. 13 )</t>
  </si>
  <si>
    <t>NOTE PER LA COMPILAZIONE E CRITERI ADOTTATI</t>
  </si>
  <si>
    <t xml:space="preserve">Nel mese di dicembre, ovvero nel mese in cui viene corrisposta la Gratifica Annuale, indicare   SI   nella cella   I25  per inserirla automaticamente nelle voci stipendiali ai fini </t>
  </si>
  <si>
    <t>rosa</t>
  </si>
  <si>
    <t>Il prospetto è formulato in modo da calcolare le voci stipendiali, ai fini contributivi,  in automatico in funzione dell'Area di inquadramento: basta inserire l'eventuale R.I.A.;</t>
  </si>
  <si>
    <t xml:space="preserve">riduzione della prestazione lavorativa e dei giorni di lavoro si possono desumere dal PDG del Ministero della Giustizia che ha modificato il rapporto di lavoro. </t>
  </si>
  <si>
    <t>Campo 38A</t>
  </si>
  <si>
    <t>Campo37A</t>
  </si>
  <si>
    <t>Campo38A</t>
  </si>
  <si>
    <t>Nel caso di eccedenza del limite del tetto retributivo indicare l'importo fuori quota rispettivamente nelle celle P19 o P22 a seconda se nel'anno corrente o anni precedenti</t>
  </si>
  <si>
    <t>si</t>
  </si>
  <si>
    <t>no</t>
  </si>
  <si>
    <t>Importo Figurativo colonna nascosta non modificare</t>
  </si>
  <si>
    <t>Cont gg PT</t>
  </si>
  <si>
    <t>Figurativo Full-Time intero</t>
  </si>
  <si>
    <t>Importo  Full-Time intero</t>
  </si>
  <si>
    <t>Importo Part-Time intero</t>
  </si>
  <si>
    <t>Figurativo Part-Time intero</t>
  </si>
  <si>
    <t>Figurativo Full-Time Ridotto</t>
  </si>
  <si>
    <t>Importo  Full-Time ridotto</t>
  </si>
  <si>
    <t>Figurativo Part-Time ridotto</t>
  </si>
  <si>
    <t>Importo Part-Time ridotto</t>
  </si>
  <si>
    <t>Arr.ti voci stipendiali</t>
  </si>
  <si>
    <t>Nella colonna C alle voci arretrati anno corrente ed anni precedenti indicare "SI" se trattasi di voci stipendiali che in regime di TFR debbono esseree riportate al lordo del 2,50% ai fini contributivi.</t>
  </si>
  <si>
    <t>Se durante il mese si verifica l'ipotesi di due periodi di riferimento (alcuni gg. a stipendio intero gli altri ridotto, oppure assunzione di nuovi colleghi durante il mese, ecc) indicare "SI" nella cella I22 . In questo caso bisogna compilare un propsetto per ogni periodo di riferimento</t>
  </si>
  <si>
    <t>Indicare SI se nel periodo di riferimento viene corrisposta la Gratifica Annuale  &gt;&gt;&gt;&gt;&gt;&gt;&gt;&gt;&gt;&gt;&gt;&gt;</t>
  </si>
  <si>
    <t>Se durante il mese si verificano più periodi di riferimento indicare SI  &gt;&gt;&gt;&gt;&gt;&gt;&gt;&gt;&gt;&gt;&gt;</t>
  </si>
  <si>
    <t>Sospensione disciplinare</t>
  </si>
  <si>
    <t>N.B.: Stipendi tabellari aggiornati al CCNL Integrativo del 21/04/2006</t>
  </si>
  <si>
    <r>
      <t>(*)</t>
    </r>
    <r>
      <rPr>
        <b/>
        <i/>
        <sz val="14"/>
        <color indexed="10"/>
        <rFont val="Times New Roman"/>
        <family val="1"/>
      </rPr>
      <t xml:space="preserve">  </t>
    </r>
    <r>
      <rPr>
        <b/>
        <i/>
        <sz val="10"/>
        <color indexed="10"/>
        <rFont val="Times New Roman"/>
        <family val="1"/>
      </rPr>
      <t xml:space="preserve">  Circolare 59 Inpdap:</t>
    </r>
    <r>
      <rPr>
        <sz val="10"/>
        <rFont val="Times New Roman"/>
        <family val="0"/>
      </rPr>
      <t xml:space="preserve">   </t>
    </r>
    <r>
      <rPr>
        <b/>
        <sz val="10"/>
        <color indexed="12"/>
        <rFont val="Times New Roman"/>
        <family val="1"/>
      </rPr>
      <t>"... Si precisa che le retribuzioni virtuali relative ai periodi coperti da contribuzione figurativa ai fini pensionistici vanno indicate nel campo retribuzioni fisse e continuative (campo 26 quadro E0 e V1).   Si evidenzia, altresì, che nei campi riguardanti le retribuzioni ai fini TFS e TFR, in caso di astensione facoltativa dal lavoro con retribuzione ridotta per maternità e per assistenza ai figli, l'Amministrazione deve indicare la retribuzione virtuale (cfr. Circolare n. 11 del 12/03/2001). In caso di astensione facoltativa dal lavoro per maternità e per assistenza ai figli, senza retribuzione, i campi della retribuzione TFS e TFR non devono essere valorizzati.   ..."</t>
    </r>
  </si>
  <si>
    <t>Calcolo Gratifica</t>
  </si>
  <si>
    <t>Gratifica corrisposta</t>
  </si>
  <si>
    <t>contributivi. Qualora la gratifica abbia riduzioni particolari (es. congedo parentale) inserire l'importo manualmente nella cella Q25</t>
  </si>
  <si>
    <t>TFS</t>
  </si>
  <si>
    <t>TFR</t>
  </si>
  <si>
    <t>Astensione facoltativa maternità riduzione stip. al 30%</t>
  </si>
  <si>
    <r>
      <t xml:space="preserve">Versione 4.0   del 19/07/2007     </t>
    </r>
    <r>
      <rPr>
        <b/>
        <i/>
        <sz val="12"/>
        <color indexed="10"/>
        <rFont val="Times New Roman"/>
        <family val="1"/>
      </rPr>
      <t>Aggiornata alla Circolare Inpdap 15/2007</t>
    </r>
  </si>
  <si>
    <t>Codici di Versamento</t>
  </si>
  <si>
    <t>Codice Fiscale Amministrazione Versante</t>
  </si>
  <si>
    <t>Codici Inpdap Versamenti in Tesoreria</t>
  </si>
  <si>
    <t>CPUG</t>
  </si>
  <si>
    <t>FC</t>
  </si>
  <si>
    <t>P4</t>
  </si>
  <si>
    <t>P7</t>
  </si>
  <si>
    <t>P9</t>
  </si>
  <si>
    <t>Anno</t>
  </si>
  <si>
    <t>03</t>
  </si>
  <si>
    <t>04</t>
  </si>
  <si>
    <t>06</t>
  </si>
  <si>
    <t>07</t>
  </si>
  <si>
    <t>08</t>
  </si>
  <si>
    <t>Mese</t>
  </si>
  <si>
    <t>02</t>
  </si>
  <si>
    <t>09</t>
  </si>
  <si>
    <t>10</t>
  </si>
  <si>
    <t>11</t>
  </si>
  <si>
    <t>12</t>
  </si>
  <si>
    <t xml:space="preserve"> </t>
  </si>
  <si>
    <t>Quadro F1</t>
  </si>
  <si>
    <t>Cassa Pensione Ufficiali Giudiziari                da Z1</t>
  </si>
  <si>
    <t>Opera di Previdenza (Trattamento fine servizio)         da Z1</t>
  </si>
  <si>
    <t>Fondo di Credito (0,35%)           da Z1</t>
  </si>
  <si>
    <t>C.P.U.G. Riscatti</t>
  </si>
  <si>
    <t>O.P. Riscatti TFS</t>
  </si>
  <si>
    <t>O.P. Riscatti TFR</t>
  </si>
  <si>
    <t>C.P.U.G. Ricongunzioni</t>
  </si>
  <si>
    <t>C.P.U.G.  Sanzioni</t>
  </si>
  <si>
    <t>O.P.  Sanzioni</t>
  </si>
  <si>
    <t>F.C.   Sanzioni</t>
  </si>
  <si>
    <t>Campo 6</t>
  </si>
  <si>
    <t xml:space="preserve">Per eventuali sanzioni </t>
  </si>
  <si>
    <t xml:space="preserve">indicare     SI     nella  </t>
  </si>
  <si>
    <t>cella &gt;&gt;&gt;&gt;&gt;</t>
  </si>
  <si>
    <t>O.P.   Sanzioni</t>
  </si>
  <si>
    <t>F.C.  Sanzioni</t>
  </si>
  <si>
    <t>Per tutti i versamenti, dalla competenza giugno 2007, effettuati in tesoreria o tramite bonifico bancario o postale dovranno essere riportati :</t>
  </si>
  <si>
    <t>· Codice Fiscale dell’ Amministrazione versante (lo stesso indicato nella DMA);</t>
  </si>
  <si>
    <t>· il campo “Codice Versamento” con i seguenti dati “XXYYAAM1M2”, dove:</t>
  </si>
  <si>
    <t xml:space="preserve">      XX = Identificativo della cassa su cui si sta versando (vedi codici allegati)</t>
  </si>
  <si>
    <t xml:space="preserve">      YY = Identificativo della causale di versamento</t>
  </si>
  <si>
    <t xml:space="preserve">      AA = Ultime due cifre anno di riferimento del versamento</t>
  </si>
  <si>
    <t xml:space="preserve">      M1 = due cifre che indicano il mese “dal” di riferimento del versamento ( es, 01 gen, …, 02 feb)</t>
  </si>
  <si>
    <t xml:space="preserve">     M2 = due cifre che indicano il mese “al” di riferimento del versamento ( es, 01 gen, …, 02 feb)</t>
  </si>
  <si>
    <t>Pertanto, coerentemente con quanto appena evidenziato, le Amministrazioni dovranno  compilare il quadro Z2 della DMA secondo le modalità di cui alla Circolare 59/2004. Va anche ricordato che è necessario compilare tutti i quadri della DMA compreso il quadro F1, contenente i dati relativi a quote per piani di ammortamento (RISCATTI E RICONGIUNZIONI)</t>
  </si>
  <si>
    <t>…..</t>
  </si>
  <si>
    <t>Estratto della Circolare 15 Inpdap del 19/06/2007</t>
  </si>
  <si>
    <t>giu08.ri@gmail.com</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</si>
</sst>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410]dddd\ d\ mmmm\ yyyy"/>
    <numFmt numFmtId="171" formatCode="0.000"/>
    <numFmt numFmtId="172" formatCode="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0_ ;\-0\ "/>
    <numFmt numFmtId="178" formatCode="_-* #,##0.0_-;\-* #,##0.0_-;_-* &quot;-&quot;??_-;_-@_-"/>
    <numFmt numFmtId="179" formatCode="_-* #,##0_-;\-* #,##0_-;_-* &quot;-&quot;??_-;_-@_-"/>
    <numFmt numFmtId="180" formatCode="yy"/>
    <numFmt numFmtId="181" formatCode="mm"/>
  </numFmts>
  <fonts count="50">
    <font>
      <sz val="10"/>
      <name val="Times New Roman"/>
      <family val="0"/>
    </font>
    <font>
      <sz val="10"/>
      <color indexed="12"/>
      <name val="Times New Roman"/>
      <family val="1"/>
    </font>
    <font>
      <b/>
      <sz val="8"/>
      <color indexed="10"/>
      <name val="Times New Roman"/>
      <family val="1"/>
    </font>
    <font>
      <b/>
      <sz val="9"/>
      <color indexed="10"/>
      <name val="Times New Roman"/>
      <family val="1"/>
    </font>
    <font>
      <b/>
      <sz val="10"/>
      <name val="Times New Roman"/>
      <family val="1"/>
    </font>
    <font>
      <b/>
      <i/>
      <sz val="10"/>
      <name val="Times New Roman"/>
      <family val="1"/>
    </font>
    <font>
      <b/>
      <i/>
      <sz val="14"/>
      <name val="Times New Roman"/>
      <family val="1"/>
    </font>
    <font>
      <b/>
      <sz val="9"/>
      <name val="Times New Roman"/>
      <family val="1"/>
    </font>
    <font>
      <b/>
      <sz val="8"/>
      <name val="Times New Roman"/>
      <family val="1"/>
    </font>
    <font>
      <b/>
      <sz val="6"/>
      <name val="Times New Roman"/>
      <family val="1"/>
    </font>
    <font>
      <sz val="10"/>
      <color indexed="10"/>
      <name val="Times New Roman"/>
      <family val="0"/>
    </font>
    <font>
      <sz val="8"/>
      <name val="Times New Roman"/>
      <family val="1"/>
    </font>
    <font>
      <b/>
      <sz val="9"/>
      <color indexed="41"/>
      <name val="Times New Roman"/>
      <family val="1"/>
    </font>
    <font>
      <sz val="10"/>
      <color indexed="41"/>
      <name val="Times New Roman"/>
      <family val="1"/>
    </font>
    <font>
      <b/>
      <sz val="9"/>
      <color indexed="12"/>
      <name val="Times New Roman"/>
      <family val="1"/>
    </font>
    <font>
      <b/>
      <sz val="10"/>
      <color indexed="12"/>
      <name val="Times New Roman"/>
      <family val="1"/>
    </font>
    <font>
      <b/>
      <sz val="8"/>
      <color indexed="48"/>
      <name val="Times New Roman"/>
      <family val="1"/>
    </font>
    <font>
      <b/>
      <sz val="10"/>
      <color indexed="48"/>
      <name val="Times New Roman"/>
      <family val="1"/>
    </font>
    <font>
      <b/>
      <sz val="16"/>
      <color indexed="12"/>
      <name val="Times New Roman"/>
      <family val="1"/>
    </font>
    <font>
      <sz val="8"/>
      <color indexed="12"/>
      <name val="Times New Roman"/>
      <family val="1"/>
    </font>
    <font>
      <sz val="7"/>
      <color indexed="12"/>
      <name val="Times New Roman"/>
      <family val="1"/>
    </font>
    <font>
      <b/>
      <sz val="12"/>
      <color indexed="12"/>
      <name val="Times New Roman"/>
      <family val="1"/>
    </font>
    <font>
      <b/>
      <sz val="14"/>
      <color indexed="12"/>
      <name val="Times New Roman"/>
      <family val="1"/>
    </font>
    <font>
      <b/>
      <sz val="6"/>
      <color indexed="48"/>
      <name val="Times New Roman"/>
      <family val="1"/>
    </font>
    <font>
      <b/>
      <sz val="8"/>
      <color indexed="10"/>
      <name val="Tahoma"/>
      <family val="2"/>
    </font>
    <font>
      <b/>
      <i/>
      <sz val="10"/>
      <color indexed="18"/>
      <name val="Times New Roman"/>
      <family val="1"/>
    </font>
    <font>
      <i/>
      <sz val="10"/>
      <color indexed="18"/>
      <name val="Times New Roman"/>
      <family val="1"/>
    </font>
    <font>
      <u val="single"/>
      <sz val="10"/>
      <color indexed="12"/>
      <name val="Arial"/>
      <family val="0"/>
    </font>
    <font>
      <b/>
      <i/>
      <sz val="16"/>
      <color indexed="13"/>
      <name val="Times New Roman"/>
      <family val="1"/>
    </font>
    <font>
      <b/>
      <sz val="7"/>
      <color indexed="48"/>
      <name val="Times New Roman"/>
      <family val="1"/>
    </font>
    <font>
      <b/>
      <sz val="10"/>
      <color indexed="10"/>
      <name val="Times New Roman"/>
      <family val="1"/>
    </font>
    <font>
      <b/>
      <sz val="12"/>
      <color indexed="10"/>
      <name val="Times New Roman"/>
      <family val="1"/>
    </font>
    <font>
      <sz val="10"/>
      <color indexed="44"/>
      <name val="Times New Roman"/>
      <family val="0"/>
    </font>
    <font>
      <b/>
      <sz val="8"/>
      <color indexed="13"/>
      <name val="Times New Roman"/>
      <family val="1"/>
    </font>
    <font>
      <b/>
      <sz val="6"/>
      <color indexed="10"/>
      <name val="Times New Roman"/>
      <family val="1"/>
    </font>
    <font>
      <b/>
      <i/>
      <sz val="10"/>
      <color indexed="10"/>
      <name val="Times New Roman"/>
      <family val="1"/>
    </font>
    <font>
      <sz val="8"/>
      <color indexed="10"/>
      <name val="Times New Roman"/>
      <family val="0"/>
    </font>
    <font>
      <b/>
      <i/>
      <sz val="12"/>
      <color indexed="10"/>
      <name val="Times New Roman"/>
      <family val="1"/>
    </font>
    <font>
      <b/>
      <sz val="9"/>
      <color indexed="13"/>
      <name val="Times New Roman"/>
      <family val="1"/>
    </font>
    <font>
      <b/>
      <i/>
      <sz val="14"/>
      <color indexed="10"/>
      <name val="Times New Roman"/>
      <family val="1"/>
    </font>
    <font>
      <b/>
      <sz val="14"/>
      <color indexed="10"/>
      <name val="Times New Roman"/>
      <family val="1"/>
    </font>
    <font>
      <b/>
      <sz val="10"/>
      <color indexed="18"/>
      <name val="Times New Roman"/>
      <family val="1"/>
    </font>
    <font>
      <b/>
      <sz val="8"/>
      <color indexed="12"/>
      <name val="Times New Roman"/>
      <family val="1"/>
    </font>
    <font>
      <b/>
      <i/>
      <sz val="11"/>
      <color indexed="10"/>
      <name val="Times New Roman"/>
      <family val="1"/>
    </font>
    <font>
      <b/>
      <i/>
      <sz val="8"/>
      <color indexed="10"/>
      <name val="Tahoma"/>
      <family val="2"/>
    </font>
    <font>
      <b/>
      <sz val="10"/>
      <color indexed="41"/>
      <name val="Times New Roman"/>
      <family val="1"/>
    </font>
    <font>
      <b/>
      <sz val="8"/>
      <color indexed="41"/>
      <name val="Times New Roman"/>
      <family val="1"/>
    </font>
    <font>
      <i/>
      <sz val="8"/>
      <color indexed="10"/>
      <name val="Tahoma"/>
      <family val="2"/>
    </font>
    <font>
      <b/>
      <i/>
      <sz val="10"/>
      <color indexed="12"/>
      <name val="Times New Roman"/>
      <family val="1"/>
    </font>
    <font>
      <u val="single"/>
      <sz val="10"/>
      <color indexed="36"/>
      <name val="Times New Roman"/>
      <family val="0"/>
    </font>
  </fonts>
  <fills count="19">
    <fill>
      <patternFill/>
    </fill>
    <fill>
      <patternFill patternType="gray125"/>
    </fill>
    <fill>
      <patternFill patternType="solid">
        <fgColor indexed="40"/>
        <bgColor indexed="64"/>
      </patternFill>
    </fill>
    <fill>
      <patternFill patternType="solid">
        <fgColor indexed="48"/>
        <bgColor indexed="64"/>
      </patternFill>
    </fill>
    <fill>
      <patternFill patternType="solid">
        <fgColor indexed="22"/>
        <bgColor indexed="64"/>
      </patternFill>
    </fill>
    <fill>
      <patternFill patternType="solid">
        <fgColor indexed="44"/>
        <bgColor indexed="64"/>
      </patternFill>
    </fill>
    <fill>
      <patternFill patternType="lightGray"/>
    </fill>
    <fill>
      <patternFill patternType="solid">
        <fgColor indexed="41"/>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15"/>
        <bgColor indexed="64"/>
      </patternFill>
    </fill>
    <fill>
      <patternFill patternType="solid">
        <fgColor indexed="26"/>
        <bgColor indexed="64"/>
      </patternFill>
    </fill>
    <fill>
      <patternFill patternType="solid">
        <fgColor indexed="27"/>
        <bgColor indexed="64"/>
      </patternFill>
    </fill>
    <fill>
      <patternFill patternType="solid">
        <fgColor indexed="12"/>
        <bgColor indexed="64"/>
      </patternFill>
    </fill>
    <fill>
      <patternFill patternType="solid">
        <fgColor indexed="51"/>
        <bgColor indexed="64"/>
      </patternFill>
    </fill>
    <fill>
      <patternFill patternType="solid">
        <fgColor indexed="13"/>
        <bgColor indexed="64"/>
      </patternFill>
    </fill>
  </fills>
  <borders count="79">
    <border>
      <left/>
      <right/>
      <top/>
      <bottom/>
      <diagonal/>
    </border>
    <border>
      <left style="thin">
        <color indexed="48"/>
      </left>
      <right style="thin">
        <color indexed="48"/>
      </right>
      <top style="hair">
        <color indexed="48"/>
      </top>
      <bottom style="thin">
        <color indexed="48"/>
      </bottom>
    </border>
    <border>
      <left style="thin">
        <color indexed="48"/>
      </left>
      <right style="thin">
        <color indexed="48"/>
      </right>
      <top style="thin">
        <color indexed="48"/>
      </top>
      <bottom style="thin">
        <color indexed="48"/>
      </bottom>
    </border>
    <border>
      <left>
        <color indexed="63"/>
      </left>
      <right style="thin">
        <color indexed="48"/>
      </right>
      <top style="hair">
        <color indexed="48"/>
      </top>
      <bottom style="thin">
        <color indexed="48"/>
      </bottom>
    </border>
    <border>
      <left style="thin">
        <color indexed="48"/>
      </left>
      <right>
        <color indexed="63"/>
      </right>
      <top style="thin">
        <color indexed="48"/>
      </top>
      <bottom style="thin">
        <color indexed="48"/>
      </bottom>
    </border>
    <border>
      <left>
        <color indexed="63"/>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48"/>
      </left>
      <right style="thin">
        <color indexed="48"/>
      </right>
      <top style="thin">
        <color indexed="48"/>
      </top>
      <bottom style="hair">
        <color indexed="48"/>
      </bottom>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style="thin"/>
      <bottom style="thin"/>
    </border>
    <border>
      <left>
        <color indexed="63"/>
      </left>
      <right style="thin">
        <color indexed="48"/>
      </right>
      <top style="thin">
        <color indexed="48"/>
      </top>
      <bottom style="hair">
        <color indexed="48"/>
      </bottom>
    </border>
    <border>
      <left style="thin">
        <color indexed="12"/>
      </left>
      <right style="thin">
        <color indexed="12"/>
      </right>
      <top style="thin">
        <color indexed="12"/>
      </top>
      <bottom style="thin">
        <color indexed="12"/>
      </bottom>
    </border>
    <border>
      <left style="thin">
        <color indexed="12"/>
      </left>
      <right style="thick">
        <color indexed="12"/>
      </right>
      <top style="thin">
        <color indexed="12"/>
      </top>
      <bottom style="thin">
        <color indexed="12"/>
      </bottom>
    </border>
    <border>
      <left style="thin">
        <color indexed="12"/>
      </left>
      <right style="thin">
        <color indexed="12"/>
      </right>
      <top style="thin">
        <color indexed="12"/>
      </top>
      <bottom style="thick">
        <color indexed="12"/>
      </bottom>
    </border>
    <border>
      <left style="thin">
        <color indexed="12"/>
      </left>
      <right style="thick">
        <color indexed="12"/>
      </right>
      <top style="thin">
        <color indexed="12"/>
      </top>
      <bottom style="thick">
        <color indexed="12"/>
      </bottom>
    </border>
    <border>
      <left>
        <color indexed="63"/>
      </left>
      <right>
        <color indexed="63"/>
      </right>
      <top>
        <color indexed="63"/>
      </top>
      <bottom style="thin">
        <color indexed="48"/>
      </bottom>
    </border>
    <border>
      <left>
        <color indexed="63"/>
      </left>
      <right>
        <color indexed="63"/>
      </right>
      <top style="thin"/>
      <bottom>
        <color indexed="63"/>
      </bottom>
    </border>
    <border>
      <left>
        <color indexed="63"/>
      </left>
      <right>
        <color indexed="63"/>
      </right>
      <top>
        <color indexed="63"/>
      </top>
      <bottom style="thin">
        <color indexed="12"/>
      </bottom>
    </border>
    <border>
      <left style="medium"/>
      <right style="medium"/>
      <top style="medium"/>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color indexed="63"/>
      </top>
      <bottom style="hair">
        <color indexed="48"/>
      </bottom>
    </border>
    <border>
      <left>
        <color indexed="63"/>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48"/>
      </left>
      <right>
        <color indexed="63"/>
      </right>
      <top style="thin">
        <color indexed="48"/>
      </top>
      <bottom style="hair">
        <color indexed="48"/>
      </bottom>
    </border>
    <border>
      <left style="thin">
        <color indexed="48"/>
      </left>
      <right>
        <color indexed="63"/>
      </right>
      <top style="hair">
        <color indexed="48"/>
      </top>
      <bottom style="thin">
        <color indexed="48"/>
      </bottom>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48"/>
      </left>
      <right>
        <color indexed="63"/>
      </right>
      <top style="thin">
        <color indexed="48"/>
      </top>
      <bottom>
        <color indexed="63"/>
      </bottom>
    </border>
    <border>
      <left>
        <color indexed="63"/>
      </left>
      <right>
        <color indexed="63"/>
      </right>
      <top style="thin">
        <color indexed="48"/>
      </top>
      <bottom>
        <color indexed="63"/>
      </bottom>
    </border>
    <border>
      <left>
        <color indexed="63"/>
      </left>
      <right style="thin">
        <color indexed="48"/>
      </right>
      <top style="thin">
        <color indexed="48"/>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
      <left style="thin"/>
      <right style="thin"/>
      <top style="thin"/>
      <bottom>
        <color indexed="63"/>
      </bottom>
    </border>
    <border>
      <left style="thin"/>
      <right style="thin"/>
      <top>
        <color indexed="63"/>
      </top>
      <bottom>
        <color indexed="63"/>
      </bottom>
    </border>
    <border>
      <left style="thin"/>
      <right style="thin"/>
      <top>
        <color indexed="63"/>
      </top>
      <bottom style="dotted"/>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color indexed="63"/>
      </left>
      <right style="medium"/>
      <top>
        <color indexed="63"/>
      </top>
      <bottom style="thin">
        <color indexed="1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2"/>
      </left>
      <right>
        <color indexed="63"/>
      </right>
      <top style="thin">
        <color indexed="48"/>
      </top>
      <bottom style="thin">
        <color indexed="48"/>
      </bottom>
    </border>
    <border>
      <left style="thin"/>
      <right style="thin"/>
      <top>
        <color indexed="63"/>
      </top>
      <bottom style="thin"/>
    </border>
    <border>
      <left style="thick">
        <color indexed="12"/>
      </left>
      <right style="thin">
        <color indexed="12"/>
      </right>
      <top style="thick">
        <color indexed="12"/>
      </top>
      <bottom style="thin">
        <color indexed="12"/>
      </bottom>
    </border>
    <border>
      <left style="thin">
        <color indexed="12"/>
      </left>
      <right style="thin">
        <color indexed="12"/>
      </right>
      <top style="thick">
        <color indexed="12"/>
      </top>
      <bottom style="thin">
        <color indexed="12"/>
      </bottom>
    </border>
    <border>
      <left style="thin">
        <color indexed="12"/>
      </left>
      <right style="thick">
        <color indexed="12"/>
      </right>
      <top style="thick">
        <color indexed="12"/>
      </top>
      <bottom style="thin">
        <color indexed="12"/>
      </bottom>
    </border>
    <border>
      <left style="thick">
        <color indexed="12"/>
      </left>
      <right style="thin">
        <color indexed="12"/>
      </right>
      <top style="thin">
        <color indexed="12"/>
      </top>
      <bottom style="thin">
        <color indexed="12"/>
      </bottom>
    </border>
    <border>
      <left style="thick">
        <color indexed="12"/>
      </left>
      <right style="thin">
        <color indexed="12"/>
      </right>
      <top style="thin">
        <color indexed="12"/>
      </top>
      <bottom style="thick">
        <color indexed="12"/>
      </bottom>
    </border>
    <border>
      <left style="thick">
        <color indexed="12"/>
      </left>
      <right>
        <color indexed="63"/>
      </right>
      <top style="thick">
        <color indexed="12"/>
      </top>
      <bottom style="thin">
        <color indexed="12"/>
      </bottom>
    </border>
    <border>
      <left>
        <color indexed="63"/>
      </left>
      <right style="thick">
        <color indexed="12"/>
      </right>
      <top style="thick">
        <color indexed="12"/>
      </top>
      <bottom style="thin">
        <color indexed="12"/>
      </bottom>
    </border>
    <border>
      <left style="thick">
        <color indexed="12"/>
      </left>
      <right>
        <color indexed="63"/>
      </right>
      <top style="thin">
        <color indexed="12"/>
      </top>
      <bottom style="thin">
        <color indexed="12"/>
      </bottom>
    </border>
    <border>
      <left>
        <color indexed="63"/>
      </left>
      <right style="thick">
        <color indexed="12"/>
      </right>
      <top style="thin">
        <color indexed="12"/>
      </top>
      <bottom style="thin">
        <color indexed="12"/>
      </bottom>
    </border>
    <border>
      <left style="thick">
        <color indexed="12"/>
      </left>
      <right style="thin">
        <color indexed="12"/>
      </right>
      <top>
        <color indexed="63"/>
      </top>
      <bottom style="thin">
        <color indexed="12"/>
      </bottom>
    </border>
    <border>
      <left style="thin">
        <color indexed="12"/>
      </left>
      <right style="thick">
        <color indexed="12"/>
      </right>
      <top style="thin">
        <color indexed="12"/>
      </top>
      <bottom>
        <color indexed="63"/>
      </bottom>
    </border>
    <border>
      <left style="thin">
        <color indexed="12"/>
      </left>
      <right style="thick">
        <color indexed="12"/>
      </right>
      <top>
        <color indexed="63"/>
      </top>
      <bottom style="thick">
        <color indexed="12"/>
      </bottom>
    </border>
    <border>
      <left style="thin">
        <color indexed="12"/>
      </left>
      <right style="thick">
        <color indexed="12"/>
      </right>
      <top>
        <color indexed="63"/>
      </top>
      <bottom style="thin">
        <color indexed="12"/>
      </bottom>
    </border>
    <border>
      <left style="thick">
        <color indexed="12"/>
      </left>
      <right>
        <color indexed="63"/>
      </right>
      <top style="thin">
        <color indexed="12"/>
      </top>
      <bottom style="thick">
        <color indexed="12"/>
      </bottom>
    </border>
    <border>
      <left>
        <color indexed="63"/>
      </left>
      <right style="thick">
        <color indexed="12"/>
      </right>
      <top style="thin">
        <color indexed="12"/>
      </top>
      <bottom style="thick">
        <color indexed="12"/>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8"/>
      </left>
      <right>
        <color indexed="63"/>
      </right>
      <top style="double">
        <color indexed="18"/>
      </top>
      <bottom>
        <color indexed="63"/>
      </bottom>
    </border>
    <border>
      <left>
        <color indexed="63"/>
      </left>
      <right>
        <color indexed="63"/>
      </right>
      <top style="double">
        <color indexed="18"/>
      </top>
      <bottom>
        <color indexed="63"/>
      </bottom>
    </border>
    <border>
      <left>
        <color indexed="63"/>
      </left>
      <right style="double">
        <color indexed="18"/>
      </right>
      <top style="double">
        <color indexed="18"/>
      </top>
      <bottom>
        <color indexed="63"/>
      </bottom>
    </border>
    <border>
      <left style="double">
        <color indexed="18"/>
      </left>
      <right>
        <color indexed="63"/>
      </right>
      <top>
        <color indexed="63"/>
      </top>
      <bottom style="double">
        <color indexed="18"/>
      </bottom>
    </border>
    <border>
      <left>
        <color indexed="63"/>
      </left>
      <right>
        <color indexed="63"/>
      </right>
      <top>
        <color indexed="63"/>
      </top>
      <bottom style="double">
        <color indexed="18"/>
      </bottom>
    </border>
    <border>
      <left>
        <color indexed="63"/>
      </left>
      <right style="double">
        <color indexed="18"/>
      </right>
      <top>
        <color indexed="63"/>
      </top>
      <bottom style="double">
        <color indexed="18"/>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0">
    <xf numFmtId="0" fontId="0" fillId="0" borderId="0" xfId="0" applyAlignment="1">
      <alignment/>
    </xf>
    <xf numFmtId="0" fontId="0" fillId="2" borderId="0" xfId="0" applyFill="1" applyAlignment="1">
      <alignment/>
    </xf>
    <xf numFmtId="0" fontId="0" fillId="0" borderId="0" xfId="0" applyAlignment="1" applyProtection="1">
      <alignment/>
      <protection hidden="1"/>
    </xf>
    <xf numFmtId="0" fontId="0" fillId="0" borderId="0" xfId="0" applyAlignment="1" applyProtection="1">
      <alignment horizontal="center"/>
      <protection hidden="1"/>
    </xf>
    <xf numFmtId="0" fontId="10" fillId="0" borderId="0" xfId="0" applyFont="1" applyAlignment="1" applyProtection="1">
      <alignment/>
      <protection hidden="1"/>
    </xf>
    <xf numFmtId="0" fontId="0" fillId="3" borderId="0" xfId="0" applyFill="1" applyAlignment="1" applyProtection="1">
      <alignment/>
      <protection hidden="1"/>
    </xf>
    <xf numFmtId="0" fontId="0" fillId="2" borderId="0" xfId="0" applyFill="1" applyAlignment="1" applyProtection="1">
      <alignment/>
      <protection hidden="1"/>
    </xf>
    <xf numFmtId="43" fontId="8" fillId="0" borderId="0" xfId="17" applyFont="1" applyAlignment="1" applyProtection="1">
      <alignment/>
      <protection hidden="1"/>
    </xf>
    <xf numFmtId="0" fontId="3" fillId="0" borderId="0" xfId="0" applyFont="1" applyAlignment="1" applyProtection="1">
      <alignment/>
      <protection hidden="1"/>
    </xf>
    <xf numFmtId="43" fontId="0" fillId="0" borderId="0" xfId="0" applyNumberFormat="1" applyAlignment="1" applyProtection="1">
      <alignment/>
      <protection hidden="1"/>
    </xf>
    <xf numFmtId="0" fontId="13" fillId="3" borderId="0" xfId="0" applyFont="1" applyFill="1" applyAlignment="1" applyProtection="1">
      <alignment/>
      <protection hidden="1"/>
    </xf>
    <xf numFmtId="0" fontId="7" fillId="3" borderId="0" xfId="0" applyFont="1" applyFill="1" applyAlignment="1" applyProtection="1">
      <alignment/>
      <protection hidden="1"/>
    </xf>
    <xf numFmtId="0" fontId="0" fillId="4" borderId="0" xfId="0" applyFill="1" applyAlignment="1" applyProtection="1">
      <alignment/>
      <protection hidden="1"/>
    </xf>
    <xf numFmtId="0" fontId="0" fillId="5" borderId="0" xfId="0" applyFill="1" applyAlignment="1" applyProtection="1">
      <alignment/>
      <protection hidden="1"/>
    </xf>
    <xf numFmtId="0" fontId="7" fillId="0" borderId="0" xfId="0" applyFont="1" applyAlignment="1" applyProtection="1">
      <alignment/>
      <protection hidden="1"/>
    </xf>
    <xf numFmtId="0" fontId="0" fillId="0" borderId="0" xfId="0" applyAlignment="1" applyProtection="1">
      <alignment/>
      <protection/>
    </xf>
    <xf numFmtId="0" fontId="10" fillId="2" borderId="0" xfId="0" applyFont="1" applyFill="1" applyAlignment="1" applyProtection="1">
      <alignment/>
      <protection hidden="1"/>
    </xf>
    <xf numFmtId="0" fontId="1" fillId="2" borderId="0" xfId="0" applyFont="1" applyFill="1" applyAlignment="1" applyProtection="1">
      <alignment/>
      <protection hidden="1"/>
    </xf>
    <xf numFmtId="43" fontId="0" fillId="2" borderId="0" xfId="17" applyFill="1" applyAlignment="1" applyProtection="1">
      <alignment/>
      <protection hidden="1"/>
    </xf>
    <xf numFmtId="0" fontId="0" fillId="6" borderId="0" xfId="0" applyFill="1" applyAlignment="1" applyProtection="1">
      <alignment/>
      <protection hidden="1"/>
    </xf>
    <xf numFmtId="14" fontId="8" fillId="7" borderId="1" xfId="0" applyNumberFormat="1" applyFont="1" applyFill="1" applyBorder="1" applyAlignment="1" applyProtection="1">
      <alignment/>
      <protection hidden="1"/>
    </xf>
    <xf numFmtId="0" fontId="8" fillId="7" borderId="1" xfId="0" applyFont="1" applyFill="1" applyBorder="1" applyAlignment="1" applyProtection="1">
      <alignment/>
      <protection hidden="1"/>
    </xf>
    <xf numFmtId="0" fontId="8" fillId="7" borderId="1" xfId="0" applyFont="1" applyFill="1" applyBorder="1" applyAlignment="1" applyProtection="1">
      <alignment horizontal="center"/>
      <protection hidden="1"/>
    </xf>
    <xf numFmtId="0" fontId="8" fillId="7" borderId="1" xfId="0" applyFont="1" applyFill="1" applyBorder="1" applyAlignment="1" applyProtection="1" quotePrefix="1">
      <alignment horizontal="center"/>
      <protection hidden="1"/>
    </xf>
    <xf numFmtId="43" fontId="8" fillId="7" borderId="1" xfId="17" applyFont="1" applyFill="1" applyBorder="1" applyAlignment="1" applyProtection="1">
      <alignment horizontal="center"/>
      <protection hidden="1"/>
    </xf>
    <xf numFmtId="43" fontId="8" fillId="7" borderId="1" xfId="17" applyFont="1" applyFill="1" applyBorder="1" applyAlignment="1" applyProtection="1">
      <alignment/>
      <protection hidden="1"/>
    </xf>
    <xf numFmtId="0" fontId="16" fillId="4" borderId="0" xfId="0" applyFont="1" applyFill="1" applyAlignment="1" applyProtection="1">
      <alignment horizontal="center" vertical="center" wrapText="1"/>
      <protection hidden="1"/>
    </xf>
    <xf numFmtId="0" fontId="8" fillId="7" borderId="2" xfId="0" applyFont="1" applyFill="1" applyBorder="1" applyAlignment="1" applyProtection="1">
      <alignment horizontal="center"/>
      <protection hidden="1"/>
    </xf>
    <xf numFmtId="0" fontId="8" fillId="5" borderId="0" xfId="0" applyFont="1" applyFill="1" applyAlignment="1" applyProtection="1">
      <alignment/>
      <protection hidden="1"/>
    </xf>
    <xf numFmtId="0" fontId="8" fillId="5" borderId="0" xfId="0" applyFont="1" applyFill="1" applyAlignment="1" applyProtection="1">
      <alignment horizontal="center"/>
      <protection hidden="1"/>
    </xf>
    <xf numFmtId="14" fontId="8" fillId="4" borderId="0" xfId="0" applyNumberFormat="1" applyFont="1" applyFill="1" applyAlignment="1" applyProtection="1">
      <alignment horizontal="center"/>
      <protection hidden="1" locked="0"/>
    </xf>
    <xf numFmtId="0" fontId="8" fillId="4" borderId="0" xfId="0" applyFont="1" applyFill="1" applyAlignment="1" applyProtection="1">
      <alignment horizontal="center"/>
      <protection hidden="1"/>
    </xf>
    <xf numFmtId="43" fontId="8" fillId="5" borderId="0" xfId="0" applyNumberFormat="1" applyFont="1" applyFill="1" applyAlignment="1" applyProtection="1">
      <alignment/>
      <protection hidden="1"/>
    </xf>
    <xf numFmtId="43" fontId="8" fillId="5" borderId="0" xfId="17" applyFont="1" applyFill="1" applyAlignment="1" applyProtection="1">
      <alignment/>
      <protection hidden="1"/>
    </xf>
    <xf numFmtId="0" fontId="8" fillId="4" borderId="0" xfId="0" applyFont="1" applyFill="1" applyAlignment="1" applyProtection="1">
      <alignment/>
      <protection hidden="1"/>
    </xf>
    <xf numFmtId="0" fontId="8" fillId="3" borderId="0" xfId="0" applyFont="1" applyFill="1" applyAlignment="1" applyProtection="1">
      <alignment/>
      <protection hidden="1"/>
    </xf>
    <xf numFmtId="0" fontId="8" fillId="7" borderId="2" xfId="0" applyFont="1" applyFill="1" applyBorder="1" applyAlignment="1" applyProtection="1">
      <alignment/>
      <protection hidden="1"/>
    </xf>
    <xf numFmtId="14" fontId="8" fillId="7" borderId="1" xfId="0" applyNumberFormat="1" applyFont="1" applyFill="1" applyBorder="1" applyAlignment="1" applyProtection="1">
      <alignment horizontal="center"/>
      <protection hidden="1" locked="0"/>
    </xf>
    <xf numFmtId="0" fontId="8" fillId="4" borderId="0" xfId="0" applyFont="1" applyFill="1" applyAlignment="1" applyProtection="1">
      <alignment horizontal="center" vertical="center" wrapText="1"/>
      <protection hidden="1"/>
    </xf>
    <xf numFmtId="43" fontId="8" fillId="7" borderId="3" xfId="17" applyFont="1" applyFill="1" applyBorder="1" applyAlignment="1" applyProtection="1">
      <alignment/>
      <protection hidden="1"/>
    </xf>
    <xf numFmtId="14" fontId="8" fillId="7" borderId="3" xfId="0" applyNumberFormat="1" applyFont="1" applyFill="1" applyBorder="1" applyAlignment="1" applyProtection="1">
      <alignment horizontal="center"/>
      <protection hidden="1" locked="0"/>
    </xf>
    <xf numFmtId="0" fontId="8" fillId="5" borderId="0" xfId="0" applyFont="1" applyFill="1" applyBorder="1" applyAlignment="1" applyProtection="1">
      <alignment/>
      <protection hidden="1"/>
    </xf>
    <xf numFmtId="49" fontId="0" fillId="2" borderId="0" xfId="0" applyNumberFormat="1" applyFill="1" applyAlignment="1" applyProtection="1">
      <alignment horizontal="center"/>
      <protection hidden="1"/>
    </xf>
    <xf numFmtId="0" fontId="0" fillId="7" borderId="0" xfId="0" applyFill="1" applyAlignment="1" applyProtection="1">
      <alignment/>
      <protection hidden="1"/>
    </xf>
    <xf numFmtId="0" fontId="0" fillId="7" borderId="0" xfId="0" applyFill="1" applyAlignment="1">
      <alignment/>
    </xf>
    <xf numFmtId="0" fontId="0" fillId="3" borderId="0" xfId="0" applyFill="1" applyAlignment="1">
      <alignment/>
    </xf>
    <xf numFmtId="0" fontId="4" fillId="7" borderId="2" xfId="0" applyFont="1" applyFill="1" applyBorder="1" applyAlignment="1" applyProtection="1">
      <alignment horizontal="center"/>
      <protection hidden="1"/>
    </xf>
    <xf numFmtId="0" fontId="4" fillId="7" borderId="4" xfId="0" applyFont="1" applyFill="1" applyBorder="1" applyAlignment="1" applyProtection="1">
      <alignment/>
      <protection hidden="1" locked="0"/>
    </xf>
    <xf numFmtId="0" fontId="4" fillId="7" borderId="5" xfId="0" applyFont="1" applyFill="1" applyBorder="1" applyAlignment="1" applyProtection="1">
      <alignment/>
      <protection hidden="1"/>
    </xf>
    <xf numFmtId="0" fontId="4" fillId="7" borderId="6" xfId="0" applyFont="1" applyFill="1" applyBorder="1" applyAlignment="1" applyProtection="1">
      <alignment/>
      <protection hidden="1"/>
    </xf>
    <xf numFmtId="0" fontId="8" fillId="5" borderId="7" xfId="0" applyFont="1" applyFill="1" applyBorder="1" applyAlignment="1" applyProtection="1">
      <alignment/>
      <protection hidden="1"/>
    </xf>
    <xf numFmtId="0" fontId="8" fillId="5" borderId="1" xfId="0" applyFont="1" applyFill="1" applyBorder="1" applyAlignment="1" applyProtection="1">
      <alignment/>
      <protection hidden="1"/>
    </xf>
    <xf numFmtId="0" fontId="16" fillId="5" borderId="7" xfId="0" applyFont="1" applyFill="1" applyBorder="1" applyAlignment="1" applyProtection="1">
      <alignment/>
      <protection hidden="1"/>
    </xf>
    <xf numFmtId="0" fontId="17" fillId="5" borderId="7" xfId="0" applyFont="1" applyFill="1" applyBorder="1" applyAlignment="1" applyProtection="1">
      <alignment/>
      <protection hidden="1"/>
    </xf>
    <xf numFmtId="0" fontId="0" fillId="5" borderId="1" xfId="0" applyFill="1" applyBorder="1" applyAlignment="1" applyProtection="1">
      <alignment/>
      <protection hidden="1"/>
    </xf>
    <xf numFmtId="0" fontId="32" fillId="5" borderId="0" xfId="0" applyFont="1" applyFill="1" applyAlignment="1" applyProtection="1">
      <alignment/>
      <protection hidden="1"/>
    </xf>
    <xf numFmtId="0" fontId="32" fillId="5" borderId="0" xfId="0" applyFont="1" applyFill="1" applyAlignment="1" applyProtection="1">
      <alignment horizontal="right"/>
      <protection hidden="1"/>
    </xf>
    <xf numFmtId="0" fontId="4" fillId="7" borderId="0" xfId="0" applyFont="1" applyFill="1" applyAlignment="1" applyProtection="1">
      <alignment horizontal="center"/>
      <protection hidden="1"/>
    </xf>
    <xf numFmtId="0" fontId="0" fillId="7" borderId="0" xfId="0" applyFill="1" applyAlignment="1" applyProtection="1">
      <alignment horizontal="center"/>
      <protection hidden="1"/>
    </xf>
    <xf numFmtId="0" fontId="0" fillId="7" borderId="0" xfId="0" applyFill="1" applyBorder="1" applyAlignment="1" quotePrefix="1">
      <alignment horizontal="left"/>
    </xf>
    <xf numFmtId="0" fontId="8" fillId="7" borderId="8" xfId="0" applyFont="1" applyFill="1" applyBorder="1" applyAlignment="1" applyProtection="1">
      <alignment horizontal="center"/>
      <protection hidden="1"/>
    </xf>
    <xf numFmtId="43" fontId="8" fillId="7" borderId="8" xfId="17" applyFont="1" applyFill="1" applyBorder="1" applyAlignment="1" applyProtection="1">
      <alignment/>
      <protection hidden="1"/>
    </xf>
    <xf numFmtId="43" fontId="8" fillId="7" borderId="9" xfId="17" applyFont="1" applyFill="1" applyBorder="1" applyAlignment="1" applyProtection="1">
      <alignment/>
      <protection hidden="1"/>
    </xf>
    <xf numFmtId="43" fontId="8" fillId="7" borderId="10" xfId="17" applyFont="1" applyFill="1" applyBorder="1" applyAlignment="1" applyProtection="1">
      <alignment/>
      <protection hidden="1"/>
    </xf>
    <xf numFmtId="0" fontId="0" fillId="7" borderId="11" xfId="0" applyFill="1" applyBorder="1" applyAlignment="1" applyProtection="1">
      <alignment/>
      <protection hidden="1"/>
    </xf>
    <xf numFmtId="0" fontId="15" fillId="7" borderId="4" xfId="0" applyFont="1" applyFill="1" applyBorder="1" applyAlignment="1" applyProtection="1">
      <alignment/>
      <protection hidden="1"/>
    </xf>
    <xf numFmtId="0" fontId="15" fillId="7" borderId="5" xfId="0" applyFont="1" applyFill="1" applyBorder="1" applyAlignment="1" applyProtection="1">
      <alignment/>
      <protection hidden="1"/>
    </xf>
    <xf numFmtId="0" fontId="15" fillId="7" borderId="6" xfId="0" applyFont="1" applyFill="1" applyBorder="1" applyAlignment="1" applyProtection="1">
      <alignment/>
      <protection hidden="1"/>
    </xf>
    <xf numFmtId="0" fontId="16" fillId="7" borderId="12" xfId="0" applyFont="1" applyFill="1" applyBorder="1" applyAlignment="1" applyProtection="1">
      <alignment horizontal="center"/>
      <protection hidden="1"/>
    </xf>
    <xf numFmtId="0" fontId="16" fillId="7" borderId="7" xfId="0" applyFont="1" applyFill="1" applyBorder="1" applyAlignment="1" applyProtection="1">
      <alignment horizontal="center"/>
      <protection hidden="1"/>
    </xf>
    <xf numFmtId="0" fontId="23" fillId="7" borderId="7" xfId="0" applyFont="1" applyFill="1" applyBorder="1" applyAlignment="1" applyProtection="1">
      <alignment/>
      <protection hidden="1"/>
    </xf>
    <xf numFmtId="0" fontId="17" fillId="7" borderId="7" xfId="0" applyFont="1" applyFill="1" applyBorder="1" applyAlignment="1" applyProtection="1">
      <alignment/>
      <protection hidden="1"/>
    </xf>
    <xf numFmtId="0" fontId="16" fillId="7" borderId="12" xfId="0" applyFont="1" applyFill="1" applyBorder="1" applyAlignment="1" applyProtection="1">
      <alignment/>
      <protection hidden="1"/>
    </xf>
    <xf numFmtId="0" fontId="16" fillId="7" borderId="7" xfId="0" applyFont="1" applyFill="1" applyBorder="1" applyAlignment="1" applyProtection="1">
      <alignment/>
      <protection hidden="1"/>
    </xf>
    <xf numFmtId="0" fontId="29" fillId="7" borderId="7" xfId="0" applyFont="1" applyFill="1" applyBorder="1" applyAlignment="1" applyProtection="1">
      <alignment/>
      <protection hidden="1"/>
    </xf>
    <xf numFmtId="14" fontId="8" fillId="8" borderId="3" xfId="0" applyNumberFormat="1" applyFont="1" applyFill="1" applyBorder="1" applyAlignment="1" applyProtection="1">
      <alignment/>
      <protection hidden="1"/>
    </xf>
    <xf numFmtId="0" fontId="4" fillId="9" borderId="0" xfId="0" applyFont="1" applyFill="1" applyAlignment="1">
      <alignment horizontal="center"/>
    </xf>
    <xf numFmtId="0" fontId="4" fillId="10" borderId="0" xfId="0" applyFont="1" applyFill="1" applyBorder="1" applyAlignment="1" applyProtection="1">
      <alignment horizontal="center"/>
      <protection hidden="1"/>
    </xf>
    <xf numFmtId="43" fontId="1" fillId="10" borderId="13" xfId="17" applyFont="1" applyFill="1" applyBorder="1" applyAlignment="1" applyProtection="1">
      <alignment/>
      <protection hidden="1" locked="0"/>
    </xf>
    <xf numFmtId="43" fontId="1" fillId="10" borderId="14" xfId="17" applyFont="1" applyFill="1" applyBorder="1" applyAlignment="1" applyProtection="1">
      <alignment/>
      <protection hidden="1" locked="0"/>
    </xf>
    <xf numFmtId="43" fontId="1" fillId="10" borderId="15" xfId="17" applyFont="1" applyFill="1" applyBorder="1" applyAlignment="1" applyProtection="1">
      <alignment/>
      <protection hidden="1" locked="0"/>
    </xf>
    <xf numFmtId="43" fontId="1" fillId="10" borderId="16" xfId="17" applyFont="1" applyFill="1" applyBorder="1" applyAlignment="1" applyProtection="1">
      <alignment/>
      <protection hidden="1" locked="0"/>
    </xf>
    <xf numFmtId="0" fontId="8" fillId="7" borderId="9" xfId="0" applyFont="1" applyFill="1" applyBorder="1" applyAlignment="1" applyProtection="1">
      <alignment horizontal="center"/>
      <protection hidden="1"/>
    </xf>
    <xf numFmtId="43" fontId="33" fillId="11" borderId="9" xfId="17" applyFont="1" applyFill="1" applyBorder="1" applyAlignment="1" applyProtection="1">
      <alignment/>
      <protection hidden="1"/>
    </xf>
    <xf numFmtId="43" fontId="33" fillId="11" borderId="8" xfId="17" applyFont="1" applyFill="1" applyBorder="1" applyAlignment="1" applyProtection="1">
      <alignment/>
      <protection hidden="1"/>
    </xf>
    <xf numFmtId="179" fontId="8" fillId="7" borderId="1" xfId="17" applyNumberFormat="1" applyFont="1" applyFill="1" applyBorder="1" applyAlignment="1" applyProtection="1">
      <alignment horizontal="center"/>
      <protection hidden="1"/>
    </xf>
    <xf numFmtId="0" fontId="10" fillId="0" borderId="0" xfId="0" applyFont="1" applyAlignment="1" applyProtection="1">
      <alignment horizontal="center"/>
      <protection hidden="1"/>
    </xf>
    <xf numFmtId="0" fontId="0" fillId="5" borderId="17" xfId="0" applyFill="1" applyBorder="1" applyAlignment="1" applyProtection="1">
      <alignment/>
      <protection hidden="1"/>
    </xf>
    <xf numFmtId="0" fontId="9" fillId="7" borderId="9" xfId="0" applyFont="1" applyFill="1" applyBorder="1" applyAlignment="1" applyProtection="1">
      <alignment/>
      <protection hidden="1"/>
    </xf>
    <xf numFmtId="0" fontId="9" fillId="7" borderId="8" xfId="0" applyFont="1" applyFill="1" applyBorder="1" applyAlignment="1" applyProtection="1">
      <alignment/>
      <protection hidden="1"/>
    </xf>
    <xf numFmtId="0" fontId="9" fillId="7" borderId="10" xfId="0" applyFont="1" applyFill="1" applyBorder="1" applyAlignment="1" applyProtection="1">
      <alignment/>
      <protection hidden="1"/>
    </xf>
    <xf numFmtId="14" fontId="11" fillId="7" borderId="8" xfId="0" applyNumberFormat="1" applyFont="1" applyFill="1" applyBorder="1" applyAlignment="1" applyProtection="1">
      <alignment/>
      <protection hidden="1"/>
    </xf>
    <xf numFmtId="0" fontId="11" fillId="5" borderId="0" xfId="0" applyFont="1" applyFill="1" applyAlignment="1" applyProtection="1">
      <alignment horizontal="center"/>
      <protection hidden="1"/>
    </xf>
    <xf numFmtId="0" fontId="0" fillId="12" borderId="0" xfId="0" applyFill="1" applyAlignment="1" applyProtection="1">
      <alignment horizontal="left"/>
      <protection hidden="1"/>
    </xf>
    <xf numFmtId="0" fontId="37" fillId="2" borderId="0" xfId="0" applyFont="1" applyFill="1" applyAlignment="1" applyProtection="1">
      <alignment horizontal="center"/>
      <protection locked="0"/>
    </xf>
    <xf numFmtId="0" fontId="38" fillId="11" borderId="0" xfId="0" applyFont="1" applyFill="1" applyAlignment="1" applyProtection="1">
      <alignment horizontal="left"/>
      <protection hidden="1"/>
    </xf>
    <xf numFmtId="43" fontId="0" fillId="0" borderId="0" xfId="17" applyAlignment="1" applyProtection="1">
      <alignment/>
      <protection hidden="1"/>
    </xf>
    <xf numFmtId="9" fontId="14" fillId="13" borderId="0" xfId="0" applyNumberFormat="1" applyFont="1" applyFill="1" applyAlignment="1" applyProtection="1">
      <alignment horizontal="center"/>
      <protection hidden="1" locked="0"/>
    </xf>
    <xf numFmtId="0" fontId="0" fillId="13" borderId="0" xfId="0" applyFill="1" applyAlignment="1" applyProtection="1">
      <alignment horizontal="left"/>
      <protection hidden="1"/>
    </xf>
    <xf numFmtId="0" fontId="30" fillId="13" borderId="0" xfId="0" applyFont="1" applyFill="1" applyAlignment="1" applyProtection="1">
      <alignment/>
      <protection hidden="1" locked="0"/>
    </xf>
    <xf numFmtId="0" fontId="10" fillId="13" borderId="0" xfId="0" applyFont="1" applyFill="1" applyAlignment="1" applyProtection="1">
      <alignment/>
      <protection hidden="1" locked="0"/>
    </xf>
    <xf numFmtId="0" fontId="0" fillId="0" borderId="0" xfId="0" applyAlignment="1">
      <alignment horizontal="center"/>
    </xf>
    <xf numFmtId="43" fontId="0" fillId="0" borderId="18" xfId="0" applyNumberFormat="1" applyBorder="1" applyAlignment="1" applyProtection="1">
      <alignment/>
      <protection hidden="1"/>
    </xf>
    <xf numFmtId="0" fontId="12" fillId="3" borderId="0" xfId="0" applyFont="1" applyFill="1" applyAlignment="1" applyProtection="1">
      <alignment horizontal="center"/>
      <protection hidden="1"/>
    </xf>
    <xf numFmtId="43" fontId="8" fillId="7" borderId="0" xfId="17" applyFont="1" applyFill="1" applyBorder="1" applyAlignment="1" applyProtection="1">
      <alignment/>
      <protection hidden="1"/>
    </xf>
    <xf numFmtId="180" fontId="0" fillId="0" borderId="0" xfId="0" applyNumberFormat="1" applyAlignment="1" applyProtection="1">
      <alignment/>
      <protection hidden="1"/>
    </xf>
    <xf numFmtId="181" fontId="0" fillId="0" borderId="0" xfId="0" applyNumberFormat="1" applyAlignment="1" applyProtection="1">
      <alignment/>
      <protection hidden="1"/>
    </xf>
    <xf numFmtId="49" fontId="0" fillId="0" borderId="0" xfId="0" applyNumberFormat="1" applyAlignment="1" applyProtection="1">
      <alignment/>
      <protection hidden="1"/>
    </xf>
    <xf numFmtId="0" fontId="14" fillId="7" borderId="0" xfId="0" applyFont="1" applyFill="1" applyBorder="1" applyAlignment="1" applyProtection="1">
      <alignment horizontal="center"/>
      <protection hidden="1"/>
    </xf>
    <xf numFmtId="0" fontId="14" fillId="7" borderId="19" xfId="0" applyFont="1" applyFill="1" applyBorder="1" applyAlignment="1" applyProtection="1">
      <alignment horizontal="center"/>
      <protection hidden="1"/>
    </xf>
    <xf numFmtId="0" fontId="4" fillId="14" borderId="20" xfId="0" applyFont="1" applyFill="1" applyBorder="1" applyAlignment="1" applyProtection="1">
      <alignment horizontal="center"/>
      <protection hidden="1" locked="0"/>
    </xf>
    <xf numFmtId="0" fontId="4" fillId="14" borderId="0" xfId="0" applyFont="1" applyFill="1" applyBorder="1" applyAlignment="1" applyProtection="1">
      <alignment horizontal="center"/>
      <protection hidden="1"/>
    </xf>
    <xf numFmtId="43" fontId="7" fillId="14" borderId="11" xfId="17" applyFont="1" applyFill="1" applyBorder="1" applyAlignment="1" applyProtection="1">
      <alignment/>
      <protection hidden="1" locked="0"/>
    </xf>
    <xf numFmtId="0" fontId="4" fillId="14" borderId="2" xfId="0" applyFont="1" applyFill="1" applyBorder="1" applyAlignment="1" applyProtection="1">
      <alignment horizontal="center"/>
      <protection hidden="1" locked="0"/>
    </xf>
    <xf numFmtId="43" fontId="4" fillId="14" borderId="2" xfId="17" applyFont="1" applyFill="1" applyBorder="1" applyAlignment="1" applyProtection="1">
      <alignment/>
      <protection hidden="1" locked="0"/>
    </xf>
    <xf numFmtId="179" fontId="4" fillId="14" borderId="2" xfId="17" applyNumberFormat="1" applyFont="1" applyFill="1" applyBorder="1" applyAlignment="1" applyProtection="1">
      <alignment/>
      <protection hidden="1" locked="0"/>
    </xf>
    <xf numFmtId="41" fontId="4" fillId="14" borderId="13" xfId="17" applyNumberFormat="1" applyFont="1" applyFill="1" applyBorder="1" applyAlignment="1" applyProtection="1">
      <alignment horizontal="center"/>
      <protection locked="0"/>
    </xf>
    <xf numFmtId="14" fontId="11" fillId="14" borderId="9" xfId="0" applyNumberFormat="1" applyFont="1" applyFill="1" applyBorder="1" applyAlignment="1" applyProtection="1">
      <alignment/>
      <protection hidden="1" locked="0"/>
    </xf>
    <xf numFmtId="14" fontId="11" fillId="14" borderId="8" xfId="0" applyNumberFormat="1" applyFont="1" applyFill="1" applyBorder="1" applyAlignment="1" applyProtection="1">
      <alignment/>
      <protection hidden="1" locked="0"/>
    </xf>
    <xf numFmtId="43" fontId="33" fillId="14" borderId="8" xfId="17" applyFont="1" applyFill="1" applyBorder="1" applyAlignment="1" applyProtection="1">
      <alignment/>
      <protection hidden="1" locked="0"/>
    </xf>
    <xf numFmtId="43" fontId="8" fillId="14" borderId="8" xfId="17" applyFont="1" applyFill="1" applyBorder="1" applyAlignment="1" applyProtection="1">
      <alignment/>
      <protection hidden="1" locked="0"/>
    </xf>
    <xf numFmtId="43" fontId="8" fillId="14" borderId="10" xfId="17" applyFont="1" applyFill="1" applyBorder="1" applyAlignment="1" applyProtection="1">
      <alignment/>
      <protection hidden="1" locked="0"/>
    </xf>
    <xf numFmtId="0" fontId="3" fillId="14" borderId="0" xfId="0" applyFont="1" applyFill="1" applyAlignment="1" applyProtection="1">
      <alignment horizontal="center"/>
      <protection hidden="1" locked="0"/>
    </xf>
    <xf numFmtId="0" fontId="30" fillId="14" borderId="0" xfId="0" applyFont="1" applyFill="1" applyAlignment="1" applyProtection="1">
      <alignment horizontal="center"/>
      <protection hidden="1" locked="0"/>
    </xf>
    <xf numFmtId="0" fontId="8" fillId="14" borderId="11" xfId="0" applyFont="1" applyFill="1" applyBorder="1" applyAlignment="1" applyProtection="1">
      <alignment horizontal="center"/>
      <protection hidden="1" locked="0"/>
    </xf>
    <xf numFmtId="43" fontId="8" fillId="14" borderId="0" xfId="17" applyFont="1" applyFill="1" applyAlignment="1" applyProtection="1">
      <alignment horizontal="center"/>
      <protection locked="0"/>
    </xf>
    <xf numFmtId="0" fontId="12" fillId="3" borderId="0" xfId="0" applyFont="1" applyFill="1" applyAlignment="1" applyProtection="1">
      <alignment horizontal="left"/>
      <protection hidden="1"/>
    </xf>
    <xf numFmtId="0" fontId="45" fillId="3" borderId="0" xfId="0" applyFont="1" applyFill="1" applyAlignment="1" applyProtection="1">
      <alignment horizontal="center"/>
      <protection hidden="1" locked="0"/>
    </xf>
    <xf numFmtId="0" fontId="45" fillId="3" borderId="0" xfId="0" applyFont="1" applyFill="1" applyAlignment="1" applyProtection="1">
      <alignment/>
      <protection hidden="1" locked="0"/>
    </xf>
    <xf numFmtId="0" fontId="13" fillId="3" borderId="0" xfId="0" applyFont="1" applyFill="1" applyAlignment="1" applyProtection="1">
      <alignment horizontal="left"/>
      <protection hidden="1"/>
    </xf>
    <xf numFmtId="0" fontId="13" fillId="3" borderId="0" xfId="0" applyFont="1" applyFill="1" applyAlignment="1" applyProtection="1">
      <alignment/>
      <protection hidden="1" locked="0"/>
    </xf>
    <xf numFmtId="43" fontId="46" fillId="3" borderId="0" xfId="17" applyFont="1" applyFill="1" applyBorder="1" applyAlignment="1" applyProtection="1">
      <alignment/>
      <protection hidden="1"/>
    </xf>
    <xf numFmtId="0" fontId="30" fillId="7" borderId="0" xfId="0" applyFont="1" applyFill="1" applyAlignment="1" applyProtection="1">
      <alignment horizontal="center"/>
      <protection hidden="1" locked="0"/>
    </xf>
    <xf numFmtId="0" fontId="7" fillId="7" borderId="0" xfId="0" applyFont="1" applyFill="1" applyAlignment="1" applyProtection="1">
      <alignment horizontal="center"/>
      <protection hidden="1"/>
    </xf>
    <xf numFmtId="0" fontId="30" fillId="7" borderId="0" xfId="0" applyFont="1" applyFill="1" applyAlignment="1" applyProtection="1">
      <alignment/>
      <protection hidden="1" locked="0"/>
    </xf>
    <xf numFmtId="0" fontId="0" fillId="7" borderId="0" xfId="0" applyFill="1" applyAlignment="1" applyProtection="1">
      <alignment horizontal="left"/>
      <protection hidden="1"/>
    </xf>
    <xf numFmtId="0" fontId="10" fillId="7" borderId="0" xfId="0" applyFont="1" applyFill="1" applyAlignment="1" applyProtection="1">
      <alignment/>
      <protection hidden="1" locked="0"/>
    </xf>
    <xf numFmtId="0" fontId="7" fillId="7" borderId="0" xfId="0" applyFont="1" applyFill="1" applyAlignment="1" applyProtection="1">
      <alignment/>
      <protection hidden="1" locked="0"/>
    </xf>
    <xf numFmtId="0" fontId="0" fillId="0" borderId="13" xfId="0" applyBorder="1" applyAlignment="1">
      <alignment/>
    </xf>
    <xf numFmtId="0" fontId="7" fillId="0" borderId="13" xfId="0" applyFont="1" applyFill="1" applyBorder="1" applyAlignment="1" applyProtection="1">
      <alignment horizontal="left"/>
      <protection hidden="1"/>
    </xf>
    <xf numFmtId="0" fontId="14" fillId="15" borderId="21" xfId="0" applyFont="1" applyFill="1" applyBorder="1" applyAlignment="1" applyProtection="1">
      <alignment/>
      <protection hidden="1"/>
    </xf>
    <xf numFmtId="0" fontId="14" fillId="15" borderId="22" xfId="0" applyFont="1" applyFill="1" applyBorder="1" applyAlignment="1" applyProtection="1">
      <alignment/>
      <protection hidden="1"/>
    </xf>
    <xf numFmtId="0" fontId="14" fillId="15" borderId="0" xfId="0" applyFont="1" applyFill="1" applyBorder="1" applyAlignment="1" applyProtection="1">
      <alignment/>
      <protection hidden="1"/>
    </xf>
    <xf numFmtId="0" fontId="7" fillId="7" borderId="0" xfId="0" applyFont="1" applyFill="1" applyAlignment="1" applyProtection="1">
      <alignment horizontal="left"/>
      <protection hidden="1"/>
    </xf>
    <xf numFmtId="0" fontId="8" fillId="7" borderId="23" xfId="0" applyFont="1" applyFill="1" applyBorder="1" applyAlignment="1" applyProtection="1">
      <alignment/>
      <protection hidden="1"/>
    </xf>
    <xf numFmtId="43" fontId="8" fillId="5" borderId="0" xfId="17" applyFont="1" applyFill="1" applyBorder="1" applyAlignment="1" applyProtection="1">
      <alignment horizontal="center"/>
      <protection hidden="1"/>
    </xf>
    <xf numFmtId="0" fontId="8" fillId="14" borderId="1" xfId="0" applyFont="1" applyFill="1" applyBorder="1" applyAlignment="1" applyProtection="1">
      <alignment horizontal="center"/>
      <protection hidden="1" locked="0"/>
    </xf>
    <xf numFmtId="14" fontId="8" fillId="14" borderId="1" xfId="0" applyNumberFormat="1" applyFont="1" applyFill="1" applyBorder="1" applyAlignment="1" applyProtection="1">
      <alignment horizontal="center"/>
      <protection hidden="1" locked="0"/>
    </xf>
    <xf numFmtId="0" fontId="14" fillId="15" borderId="24" xfId="0" applyFont="1" applyFill="1" applyBorder="1" applyAlignment="1" applyProtection="1">
      <alignment/>
      <protection hidden="1"/>
    </xf>
    <xf numFmtId="0" fontId="14" fillId="15" borderId="19" xfId="0" applyFont="1" applyFill="1" applyBorder="1" applyAlignment="1" applyProtection="1">
      <alignment/>
      <protection hidden="1"/>
    </xf>
    <xf numFmtId="0" fontId="14" fillId="7" borderId="0" xfId="0" applyFont="1" applyFill="1" applyBorder="1" applyAlignment="1" applyProtection="1">
      <alignment/>
      <protection hidden="1"/>
    </xf>
    <xf numFmtId="180" fontId="3" fillId="14" borderId="25" xfId="0" applyNumberFormat="1" applyFont="1" applyFill="1" applyBorder="1" applyAlignment="1" applyProtection="1">
      <alignment horizontal="center"/>
      <protection hidden="1"/>
    </xf>
    <xf numFmtId="0" fontId="4" fillId="14" borderId="0" xfId="0" applyFont="1" applyFill="1" applyAlignment="1">
      <alignment horizontal="center"/>
    </xf>
    <xf numFmtId="0" fontId="15" fillId="7" borderId="0" xfId="0" applyFont="1" applyFill="1" applyAlignment="1">
      <alignment horizontal="center"/>
    </xf>
    <xf numFmtId="0" fontId="15" fillId="7" borderId="0" xfId="0" applyFont="1" applyFill="1" applyAlignment="1">
      <alignment/>
    </xf>
    <xf numFmtId="0" fontId="1" fillId="7" borderId="0" xfId="0" applyFont="1" applyFill="1" applyAlignment="1">
      <alignment/>
    </xf>
    <xf numFmtId="0" fontId="8" fillId="7" borderId="1" xfId="0" applyFont="1" applyFill="1" applyBorder="1" applyAlignment="1" applyProtection="1">
      <alignment horizontal="center" vertical="center" wrapText="1"/>
      <protection hidden="1"/>
    </xf>
    <xf numFmtId="0" fontId="9" fillId="7" borderId="11" xfId="0" applyFont="1" applyFill="1" applyBorder="1" applyAlignment="1" applyProtection="1">
      <alignment horizontal="center" vertical="center" wrapText="1"/>
      <protection hidden="1"/>
    </xf>
    <xf numFmtId="0" fontId="14" fillId="7" borderId="26" xfId="0" applyFont="1" applyFill="1" applyBorder="1" applyAlignment="1" applyProtection="1">
      <alignment horizontal="center"/>
      <protection hidden="1"/>
    </xf>
    <xf numFmtId="0" fontId="14" fillId="7" borderId="0" xfId="0" applyFont="1" applyFill="1" applyBorder="1" applyAlignment="1" applyProtection="1">
      <alignment horizontal="center"/>
      <protection hidden="1"/>
    </xf>
    <xf numFmtId="0" fontId="14" fillId="7" borderId="27" xfId="0" applyFont="1" applyFill="1" applyBorder="1" applyAlignment="1" applyProtection="1">
      <alignment horizontal="center"/>
      <protection hidden="1"/>
    </xf>
    <xf numFmtId="0" fontId="9" fillId="7" borderId="11" xfId="0" applyFont="1" applyFill="1" applyBorder="1" applyAlignment="1" applyProtection="1">
      <alignment horizontal="center"/>
      <protection hidden="1"/>
    </xf>
    <xf numFmtId="0" fontId="0" fillId="7" borderId="21" xfId="0" applyFill="1" applyBorder="1" applyAlignment="1">
      <alignment horizontal="center"/>
    </xf>
    <xf numFmtId="0" fontId="0" fillId="7" borderId="28" xfId="0" applyFill="1" applyBorder="1" applyAlignment="1">
      <alignment horizontal="center"/>
    </xf>
    <xf numFmtId="0" fontId="8" fillId="7" borderId="11" xfId="0" applyFont="1" applyFill="1" applyBorder="1" applyAlignment="1" applyProtection="1">
      <alignment horizontal="center" vertical="center" wrapText="1"/>
      <protection hidden="1"/>
    </xf>
    <xf numFmtId="0" fontId="16" fillId="7" borderId="29" xfId="0" applyFont="1" applyFill="1" applyBorder="1" applyAlignment="1" applyProtection="1">
      <alignment horizontal="center"/>
      <protection hidden="1"/>
    </xf>
    <xf numFmtId="0" fontId="16" fillId="7" borderId="12" xfId="0" applyFont="1" applyFill="1" applyBorder="1" applyAlignment="1" applyProtection="1">
      <alignment horizontal="center"/>
      <protection hidden="1"/>
    </xf>
    <xf numFmtId="0" fontId="8" fillId="14" borderId="30" xfId="0" applyFont="1" applyFill="1" applyBorder="1" applyAlignment="1" applyProtection="1">
      <alignment horizontal="center"/>
      <protection hidden="1" locked="0"/>
    </xf>
    <xf numFmtId="0" fontId="8" fillId="14" borderId="3" xfId="0" applyFont="1" applyFill="1" applyBorder="1" applyAlignment="1" applyProtection="1">
      <alignment horizontal="center"/>
      <protection hidden="1" locked="0"/>
    </xf>
    <xf numFmtId="0" fontId="14" fillId="7" borderId="31" xfId="0" applyFont="1" applyFill="1" applyBorder="1" applyAlignment="1" applyProtection="1">
      <alignment horizontal="center"/>
      <protection hidden="1"/>
    </xf>
    <xf numFmtId="0" fontId="14" fillId="7" borderId="24" xfId="0" applyFont="1" applyFill="1" applyBorder="1" applyAlignment="1" applyProtection="1">
      <alignment horizontal="center"/>
      <protection hidden="1"/>
    </xf>
    <xf numFmtId="0" fontId="14" fillId="7" borderId="32" xfId="0" applyFont="1" applyFill="1" applyBorder="1" applyAlignment="1" applyProtection="1">
      <alignment horizontal="center"/>
      <protection hidden="1"/>
    </xf>
    <xf numFmtId="0" fontId="14" fillId="15" borderId="26" xfId="0" applyFont="1" applyFill="1" applyBorder="1" applyAlignment="1" applyProtection="1">
      <alignment horizontal="center"/>
      <protection hidden="1"/>
    </xf>
    <xf numFmtId="0" fontId="14" fillId="15" borderId="0" xfId="0" applyFont="1" applyFill="1" applyBorder="1" applyAlignment="1" applyProtection="1">
      <alignment horizontal="center"/>
      <protection hidden="1"/>
    </xf>
    <xf numFmtId="0" fontId="14" fillId="15" borderId="27" xfId="0" applyFont="1" applyFill="1" applyBorder="1" applyAlignment="1" applyProtection="1">
      <alignment horizontal="center"/>
      <protection hidden="1"/>
    </xf>
    <xf numFmtId="0" fontId="14" fillId="15" borderId="33" xfId="0" applyFont="1" applyFill="1" applyBorder="1" applyAlignment="1" applyProtection="1">
      <alignment horizontal="center"/>
      <protection hidden="1"/>
    </xf>
    <xf numFmtId="0" fontId="14" fillId="15" borderId="19" xfId="0" applyFont="1" applyFill="1" applyBorder="1" applyAlignment="1" applyProtection="1">
      <alignment horizontal="center"/>
      <protection hidden="1"/>
    </xf>
    <xf numFmtId="0" fontId="14" fillId="15" borderId="13" xfId="0" applyFont="1" applyFill="1" applyBorder="1" applyAlignment="1" applyProtection="1">
      <alignment horizontal="left"/>
      <protection hidden="1"/>
    </xf>
    <xf numFmtId="0" fontId="11" fillId="5" borderId="0" xfId="0" applyFont="1" applyFill="1" applyBorder="1" applyAlignment="1" applyProtection="1">
      <alignment horizontal="center"/>
      <protection hidden="1"/>
    </xf>
    <xf numFmtId="0" fontId="16" fillId="7" borderId="7" xfId="0" applyFont="1" applyFill="1" applyBorder="1" applyAlignment="1" applyProtection="1">
      <alignment horizontal="center"/>
      <protection hidden="1"/>
    </xf>
    <xf numFmtId="180" fontId="14" fillId="7" borderId="13" xfId="0" applyNumberFormat="1" applyFont="1" applyFill="1" applyBorder="1" applyAlignment="1" applyProtection="1">
      <alignment horizontal="center"/>
      <protection hidden="1"/>
    </xf>
    <xf numFmtId="0" fontId="8" fillId="7" borderId="1" xfId="0" applyFont="1" applyFill="1" applyBorder="1" applyAlignment="1" applyProtection="1">
      <alignment horizontal="center"/>
      <protection hidden="1"/>
    </xf>
    <xf numFmtId="43" fontId="8" fillId="7" borderId="1" xfId="17" applyFont="1" applyFill="1" applyBorder="1" applyAlignment="1" applyProtection="1">
      <alignment horizontal="center"/>
      <protection hidden="1"/>
    </xf>
    <xf numFmtId="0" fontId="8" fillId="7" borderId="1" xfId="0" applyFont="1" applyFill="1" applyBorder="1" applyAlignment="1" applyProtection="1" quotePrefix="1">
      <alignment horizontal="center"/>
      <protection hidden="1"/>
    </xf>
    <xf numFmtId="0" fontId="14" fillId="15" borderId="21" xfId="0" applyFont="1" applyFill="1" applyBorder="1" applyAlignment="1" applyProtection="1">
      <alignment horizontal="left"/>
      <protection hidden="1"/>
    </xf>
    <xf numFmtId="0" fontId="14" fillId="15" borderId="22" xfId="0" applyFont="1" applyFill="1" applyBorder="1" applyAlignment="1" applyProtection="1">
      <alignment horizontal="left"/>
      <protection hidden="1"/>
    </xf>
    <xf numFmtId="0" fontId="14" fillId="15" borderId="28" xfId="0" applyFont="1" applyFill="1" applyBorder="1" applyAlignment="1" applyProtection="1">
      <alignment horizontal="left"/>
      <protection hidden="1"/>
    </xf>
    <xf numFmtId="180" fontId="14" fillId="7" borderId="22" xfId="0" applyNumberFormat="1" applyFont="1" applyFill="1" applyBorder="1" applyAlignment="1" applyProtection="1">
      <alignment horizontal="center"/>
      <protection hidden="1"/>
    </xf>
    <xf numFmtId="180" fontId="14" fillId="7" borderId="24" xfId="0" applyNumberFormat="1" applyFont="1" applyFill="1" applyBorder="1" applyAlignment="1" applyProtection="1">
      <alignment horizontal="center"/>
      <protection hidden="1"/>
    </xf>
    <xf numFmtId="0" fontId="39" fillId="5" borderId="0" xfId="0" applyFont="1" applyFill="1" applyAlignment="1" applyProtection="1">
      <alignment horizontal="center" vertical="center" wrapText="1"/>
      <protection hidden="1"/>
    </xf>
    <xf numFmtId="0" fontId="6" fillId="14" borderId="0" xfId="0" applyFont="1" applyFill="1" applyAlignment="1" applyProtection="1">
      <alignment horizontal="center"/>
      <protection hidden="1" locked="0"/>
    </xf>
    <xf numFmtId="0" fontId="6" fillId="15" borderId="0" xfId="0" applyFont="1" applyFill="1" applyAlignment="1" applyProtection="1">
      <alignment horizontal="center"/>
      <protection hidden="1"/>
    </xf>
    <xf numFmtId="0" fontId="7" fillId="7" borderId="26"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0" fontId="7" fillId="7" borderId="27"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19" xfId="0" applyFont="1" applyFill="1" applyBorder="1" applyAlignment="1" applyProtection="1">
      <alignment horizontal="center"/>
      <protection hidden="1"/>
    </xf>
    <xf numFmtId="0" fontId="7" fillId="7" borderId="25" xfId="0" applyFont="1" applyFill="1" applyBorder="1" applyAlignment="1" applyProtection="1">
      <alignment horizontal="center"/>
      <protection hidden="1"/>
    </xf>
    <xf numFmtId="0" fontId="7" fillId="3" borderId="22" xfId="0" applyFont="1" applyFill="1" applyBorder="1" applyAlignment="1" applyProtection="1">
      <alignment horizontal="center"/>
      <protection hidden="1"/>
    </xf>
    <xf numFmtId="0" fontId="7" fillId="3" borderId="34" xfId="0" applyFont="1" applyFill="1" applyBorder="1" applyAlignment="1" applyProtection="1">
      <alignment horizontal="center"/>
      <protection hidden="1"/>
    </xf>
    <xf numFmtId="0" fontId="14" fillId="7" borderId="21" xfId="0" applyFont="1" applyFill="1" applyBorder="1" applyAlignment="1" applyProtection="1">
      <alignment horizontal="center"/>
      <protection hidden="1"/>
    </xf>
    <xf numFmtId="0" fontId="14" fillId="7" borderId="22" xfId="0" applyFont="1" applyFill="1" applyBorder="1" applyAlignment="1" applyProtection="1">
      <alignment horizontal="center"/>
      <protection hidden="1"/>
    </xf>
    <xf numFmtId="0" fontId="14" fillId="7" borderId="28" xfId="0" applyFont="1" applyFill="1" applyBorder="1" applyAlignment="1" applyProtection="1">
      <alignment horizontal="center"/>
      <protection hidden="1"/>
    </xf>
    <xf numFmtId="0" fontId="7" fillId="5" borderId="35" xfId="0" applyFont="1" applyFill="1" applyBorder="1" applyAlignment="1" applyProtection="1">
      <alignment horizontal="center"/>
      <protection hidden="1"/>
    </xf>
    <xf numFmtId="0" fontId="7" fillId="5" borderId="0" xfId="0" applyFont="1" applyFill="1" applyBorder="1" applyAlignment="1" applyProtection="1">
      <alignment horizontal="center"/>
      <protection hidden="1"/>
    </xf>
    <xf numFmtId="0" fontId="7" fillId="5" borderId="36" xfId="0" applyFont="1" applyFill="1" applyBorder="1" applyAlignment="1" applyProtection="1">
      <alignment horizontal="center"/>
      <protection hidden="1"/>
    </xf>
    <xf numFmtId="0" fontId="14" fillId="7" borderId="0" xfId="0" applyFont="1" applyFill="1" applyAlignment="1" applyProtection="1">
      <alignment horizontal="left"/>
      <protection hidden="1"/>
    </xf>
    <xf numFmtId="0" fontId="14" fillId="15" borderId="37" xfId="0" applyFont="1" applyFill="1" applyBorder="1" applyAlignment="1" applyProtection="1">
      <alignment horizontal="center"/>
      <protection hidden="1"/>
    </xf>
    <xf numFmtId="0" fontId="14" fillId="15" borderId="38" xfId="0" applyFont="1" applyFill="1" applyBorder="1" applyAlignment="1" applyProtection="1">
      <alignment horizontal="center"/>
      <protection hidden="1"/>
    </xf>
    <xf numFmtId="0" fontId="14" fillId="15" borderId="39" xfId="0" applyFont="1" applyFill="1" applyBorder="1" applyAlignment="1" applyProtection="1">
      <alignment horizontal="center"/>
      <protection hidden="1"/>
    </xf>
    <xf numFmtId="0" fontId="19" fillId="7" borderId="40" xfId="0" applyFont="1" applyFill="1" applyBorder="1" applyAlignment="1" applyProtection="1">
      <alignment horizontal="center"/>
      <protection hidden="1"/>
    </xf>
    <xf numFmtId="0" fontId="19" fillId="7" borderId="17" xfId="0" applyFont="1" applyFill="1" applyBorder="1" applyAlignment="1" applyProtection="1">
      <alignment horizontal="center"/>
      <protection hidden="1"/>
    </xf>
    <xf numFmtId="0" fontId="19" fillId="7" borderId="41" xfId="0" applyFont="1" applyFill="1" applyBorder="1" applyAlignment="1" applyProtection="1">
      <alignment horizontal="center"/>
      <protection hidden="1"/>
    </xf>
    <xf numFmtId="0" fontId="14" fillId="7" borderId="33" xfId="0" applyFont="1" applyFill="1" applyBorder="1" applyAlignment="1" applyProtection="1">
      <alignment horizontal="center"/>
      <protection hidden="1"/>
    </xf>
    <xf numFmtId="0" fontId="14" fillId="7" borderId="19" xfId="0" applyFont="1" applyFill="1" applyBorder="1" applyAlignment="1" applyProtection="1">
      <alignment horizontal="center"/>
      <protection hidden="1"/>
    </xf>
    <xf numFmtId="0" fontId="14" fillId="7" borderId="25" xfId="0" applyFont="1" applyFill="1" applyBorder="1" applyAlignment="1" applyProtection="1">
      <alignment horizontal="center"/>
      <protection hidden="1"/>
    </xf>
    <xf numFmtId="0" fontId="12" fillId="3" borderId="0" xfId="0" applyFont="1" applyFill="1" applyAlignment="1" applyProtection="1">
      <alignment horizontal="center"/>
      <protection hidden="1"/>
    </xf>
    <xf numFmtId="0" fontId="14" fillId="13" borderId="0" xfId="0" applyFont="1" applyFill="1" applyAlignment="1" applyProtection="1">
      <alignment horizontal="center"/>
      <protection hidden="1"/>
    </xf>
    <xf numFmtId="0" fontId="42" fillId="7" borderId="0" xfId="0" applyFont="1" applyFill="1" applyAlignment="1" applyProtection="1">
      <alignment horizontal="left"/>
      <protection hidden="1"/>
    </xf>
    <xf numFmtId="0" fontId="7" fillId="9" borderId="0" xfId="0" applyFont="1" applyFill="1" applyAlignment="1" applyProtection="1">
      <alignment horizontal="left"/>
      <protection hidden="1"/>
    </xf>
    <xf numFmtId="0" fontId="7" fillId="14" borderId="13" xfId="0" applyFont="1" applyFill="1" applyBorder="1" applyAlignment="1" applyProtection="1">
      <alignment horizontal="center"/>
      <protection hidden="1" locked="0"/>
    </xf>
    <xf numFmtId="0" fontId="16" fillId="7" borderId="12" xfId="0" applyFont="1" applyFill="1" applyBorder="1" applyAlignment="1" applyProtection="1">
      <alignment horizontal="center" vertical="center" wrapText="1"/>
      <protection hidden="1"/>
    </xf>
    <xf numFmtId="0" fontId="16" fillId="7" borderId="3" xfId="0" applyFont="1" applyFill="1" applyBorder="1" applyAlignment="1" applyProtection="1">
      <alignment horizontal="center" vertical="center" wrapText="1"/>
      <protection hidden="1"/>
    </xf>
    <xf numFmtId="0" fontId="16" fillId="7" borderId="4" xfId="0" applyFont="1" applyFill="1" applyBorder="1" applyAlignment="1" applyProtection="1">
      <alignment horizontal="left"/>
      <protection hidden="1"/>
    </xf>
    <xf numFmtId="0" fontId="16" fillId="7" borderId="5" xfId="0" applyFont="1" applyFill="1" applyBorder="1" applyAlignment="1" applyProtection="1">
      <alignment horizontal="left"/>
      <protection hidden="1"/>
    </xf>
    <xf numFmtId="0" fontId="16" fillId="7" borderId="6" xfId="0" applyFont="1" applyFill="1" applyBorder="1" applyAlignment="1" applyProtection="1">
      <alignment horizontal="left"/>
      <protection hidden="1"/>
    </xf>
    <xf numFmtId="0" fontId="15" fillId="7" borderId="4" xfId="0" applyFont="1" applyFill="1" applyBorder="1" applyAlignment="1" applyProtection="1">
      <alignment horizontal="center"/>
      <protection hidden="1"/>
    </xf>
    <xf numFmtId="0" fontId="15" fillId="7" borderId="6" xfId="0" applyFont="1" applyFill="1" applyBorder="1" applyAlignment="1" applyProtection="1">
      <alignment horizontal="center"/>
      <protection hidden="1"/>
    </xf>
    <xf numFmtId="14" fontId="11" fillId="14" borderId="8" xfId="0" applyNumberFormat="1" applyFont="1" applyFill="1" applyBorder="1" applyAlignment="1" applyProtection="1">
      <alignment horizontal="center" vertical="center"/>
      <protection hidden="1" locked="0"/>
    </xf>
    <xf numFmtId="14" fontId="11" fillId="14" borderId="10" xfId="0" applyNumberFormat="1" applyFont="1" applyFill="1" applyBorder="1" applyAlignment="1" applyProtection="1">
      <alignment horizontal="center" vertical="center"/>
      <protection hidden="1" locked="0"/>
    </xf>
    <xf numFmtId="0" fontId="4" fillId="7" borderId="11" xfId="0" applyFont="1" applyFill="1" applyBorder="1" applyAlignment="1" applyProtection="1">
      <alignment horizontal="center" vertical="center" wrapText="1"/>
      <protection hidden="1"/>
    </xf>
    <xf numFmtId="0" fontId="9" fillId="7" borderId="42" xfId="0" applyFont="1" applyFill="1" applyBorder="1" applyAlignment="1" applyProtection="1">
      <alignment horizontal="center" textRotation="255" wrapText="1"/>
      <protection hidden="1"/>
    </xf>
    <xf numFmtId="0" fontId="9" fillId="7" borderId="43" xfId="0" applyFont="1" applyFill="1" applyBorder="1" applyAlignment="1" applyProtection="1">
      <alignment horizontal="center" textRotation="255" wrapText="1"/>
      <protection hidden="1"/>
    </xf>
    <xf numFmtId="0" fontId="9" fillId="7" borderId="44" xfId="0" applyFont="1" applyFill="1" applyBorder="1" applyAlignment="1" applyProtection="1">
      <alignment horizontal="center" textRotation="255" wrapText="1"/>
      <protection hidden="1"/>
    </xf>
    <xf numFmtId="0" fontId="4" fillId="14" borderId="45" xfId="0" applyFont="1" applyFill="1" applyBorder="1" applyAlignment="1" applyProtection="1">
      <alignment horizontal="center" vertical="center"/>
      <protection hidden="1" locked="0"/>
    </xf>
    <xf numFmtId="0" fontId="4" fillId="14" borderId="46" xfId="0" applyFont="1" applyFill="1" applyBorder="1" applyAlignment="1" applyProtection="1">
      <alignment horizontal="center" vertical="center"/>
      <protection hidden="1" locked="0"/>
    </xf>
    <xf numFmtId="0" fontId="4" fillId="7" borderId="2" xfId="0" applyFont="1" applyFill="1" applyBorder="1" applyAlignment="1">
      <alignment horizontal="center"/>
    </xf>
    <xf numFmtId="0" fontId="4" fillId="7" borderId="45" xfId="0" applyFont="1" applyFill="1" applyBorder="1" applyAlignment="1" applyProtection="1">
      <alignment horizontal="center" vertical="center" wrapText="1"/>
      <protection hidden="1"/>
    </xf>
    <xf numFmtId="0" fontId="4" fillId="7" borderId="46"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protection hidden="1"/>
    </xf>
    <xf numFmtId="0" fontId="0" fillId="7" borderId="2" xfId="0" applyFill="1" applyBorder="1" applyAlignment="1">
      <alignment horizontal="center"/>
    </xf>
    <xf numFmtId="1" fontId="0" fillId="16" borderId="0" xfId="0" applyNumberFormat="1" applyFill="1" applyAlignment="1" applyProtection="1">
      <alignment horizontal="center"/>
      <protection hidden="1"/>
    </xf>
    <xf numFmtId="0" fontId="34" fillId="17" borderId="11" xfId="0" applyFont="1" applyFill="1" applyBorder="1" applyAlignment="1" applyProtection="1">
      <alignment horizontal="center" vertical="center" wrapText="1"/>
      <protection hidden="1"/>
    </xf>
    <xf numFmtId="0" fontId="0" fillId="7" borderId="0" xfId="0" applyFill="1" applyAlignment="1">
      <alignment horizontal="center"/>
    </xf>
    <xf numFmtId="0" fontId="4" fillId="7" borderId="4" xfId="0" applyFont="1" applyFill="1" applyBorder="1" applyAlignment="1" applyProtection="1">
      <alignment horizontal="center"/>
      <protection hidden="1" locked="0"/>
    </xf>
    <xf numFmtId="0" fontId="4" fillId="7" borderId="6" xfId="0" applyFont="1" applyFill="1" applyBorder="1" applyAlignment="1" applyProtection="1">
      <alignment horizontal="center"/>
      <protection hidden="1" locked="0"/>
    </xf>
    <xf numFmtId="0" fontId="4" fillId="7" borderId="19" xfId="0" applyFont="1" applyFill="1" applyBorder="1" applyAlignment="1" applyProtection="1">
      <alignment horizontal="center"/>
      <protection hidden="1"/>
    </xf>
    <xf numFmtId="0" fontId="4" fillId="7" borderId="47" xfId="0" applyFont="1" applyFill="1" applyBorder="1" applyAlignment="1" applyProtection="1">
      <alignment horizontal="center"/>
      <protection hidden="1"/>
    </xf>
    <xf numFmtId="0" fontId="5" fillId="14" borderId="48" xfId="0" applyFont="1" applyFill="1" applyBorder="1" applyAlignment="1" applyProtection="1">
      <alignment horizontal="center"/>
      <protection hidden="1" locked="0"/>
    </xf>
    <xf numFmtId="0" fontId="5" fillId="14" borderId="49" xfId="0" applyFont="1" applyFill="1" applyBorder="1" applyAlignment="1" applyProtection="1">
      <alignment horizontal="center"/>
      <protection hidden="1" locked="0"/>
    </xf>
    <xf numFmtId="0" fontId="5" fillId="14" borderId="50" xfId="0" applyFont="1" applyFill="1" applyBorder="1" applyAlignment="1" applyProtection="1">
      <alignment horizontal="center"/>
      <protection hidden="1" locked="0"/>
    </xf>
    <xf numFmtId="0" fontId="8" fillId="14" borderId="8" xfId="0" applyFont="1" applyFill="1" applyBorder="1" applyAlignment="1" applyProtection="1">
      <alignment horizontal="center" vertical="center"/>
      <protection hidden="1" locked="0"/>
    </xf>
    <xf numFmtId="0" fontId="8" fillId="14" borderId="10" xfId="0" applyFont="1" applyFill="1" applyBorder="1" applyAlignment="1" applyProtection="1">
      <alignment horizontal="center" vertical="center"/>
      <protection hidden="1" locked="0"/>
    </xf>
    <xf numFmtId="0" fontId="3" fillId="14" borderId="0" xfId="0" applyFont="1" applyFill="1" applyAlignment="1" applyProtection="1">
      <alignment horizontal="center"/>
      <protection hidden="1" locked="0"/>
    </xf>
    <xf numFmtId="0" fontId="0" fillId="16" borderId="0" xfId="0" applyFill="1" applyAlignment="1" applyProtection="1">
      <alignment horizontal="center"/>
      <protection hidden="1"/>
    </xf>
    <xf numFmtId="0" fontId="5" fillId="14" borderId="34" xfId="0" applyFont="1" applyFill="1" applyBorder="1" applyAlignment="1" applyProtection="1">
      <alignment horizontal="center"/>
      <protection locked="0"/>
    </xf>
    <xf numFmtId="0" fontId="5" fillId="14" borderId="34" xfId="0" applyFont="1" applyFill="1" applyBorder="1" applyAlignment="1" applyProtection="1">
      <alignment horizontal="left"/>
      <protection locked="0"/>
    </xf>
    <xf numFmtId="0" fontId="30" fillId="13" borderId="0" xfId="0" applyFont="1" applyFill="1" applyAlignment="1" applyProtection="1">
      <alignment horizontal="center"/>
      <protection hidden="1" locked="0"/>
    </xf>
    <xf numFmtId="0" fontId="16" fillId="7" borderId="51" xfId="0" applyFont="1" applyFill="1" applyBorder="1" applyAlignment="1" applyProtection="1">
      <alignment horizontal="right"/>
      <protection hidden="1"/>
    </xf>
    <xf numFmtId="0" fontId="16" fillId="7" borderId="5" xfId="0" applyFont="1" applyFill="1" applyBorder="1" applyAlignment="1" applyProtection="1">
      <alignment horizontal="right"/>
      <protection hidden="1"/>
    </xf>
    <xf numFmtId="0" fontId="16" fillId="7" borderId="6" xfId="0" applyFont="1" applyFill="1" applyBorder="1" applyAlignment="1" applyProtection="1">
      <alignment horizontal="right"/>
      <protection hidden="1"/>
    </xf>
    <xf numFmtId="0" fontId="32" fillId="5" borderId="17" xfId="0" applyFont="1" applyFill="1" applyBorder="1" applyAlignment="1" applyProtection="1">
      <alignment horizontal="right"/>
      <protection hidden="1"/>
    </xf>
    <xf numFmtId="0" fontId="32" fillId="5" borderId="17" xfId="0" applyFont="1" applyFill="1" applyBorder="1" applyAlignment="1" applyProtection="1">
      <alignment horizontal="center"/>
      <protection hidden="1"/>
    </xf>
    <xf numFmtId="0" fontId="0" fillId="0" borderId="0" xfId="0"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36" fillId="0" borderId="0" xfId="0" applyFont="1" applyAlignment="1" applyProtection="1">
      <alignment horizontal="center"/>
      <protection hidden="1"/>
    </xf>
    <xf numFmtId="0" fontId="7" fillId="13" borderId="0" xfId="0" applyFont="1" applyFill="1" applyAlignment="1" applyProtection="1">
      <alignment horizontal="center"/>
      <protection hidden="1"/>
    </xf>
    <xf numFmtId="0" fontId="15" fillId="7" borderId="4" xfId="0" applyFont="1" applyFill="1" applyBorder="1" applyAlignment="1" applyProtection="1">
      <alignment horizontal="left"/>
      <protection hidden="1"/>
    </xf>
    <xf numFmtId="0" fontId="15" fillId="7" borderId="6" xfId="0" applyFont="1" applyFill="1" applyBorder="1" applyAlignment="1" applyProtection="1">
      <alignment horizontal="left"/>
      <protection hidden="1"/>
    </xf>
    <xf numFmtId="0" fontId="11" fillId="5" borderId="17" xfId="0" applyFont="1" applyFill="1" applyBorder="1" applyAlignment="1" applyProtection="1">
      <alignment horizontal="center"/>
      <protection hidden="1"/>
    </xf>
    <xf numFmtId="0" fontId="14" fillId="13" borderId="0" xfId="0" applyFont="1" applyFill="1" applyAlignment="1" applyProtection="1">
      <alignment horizontal="center"/>
      <protection hidden="1" locked="0"/>
    </xf>
    <xf numFmtId="0" fontId="0" fillId="7" borderId="42"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43" fontId="8" fillId="7" borderId="9" xfId="17" applyFont="1" applyFill="1" applyBorder="1" applyAlignment="1" applyProtection="1">
      <alignment horizontal="center" vertical="center" textRotation="255" wrapText="1"/>
      <protection hidden="1"/>
    </xf>
    <xf numFmtId="43" fontId="8" fillId="7" borderId="8" xfId="17" applyFont="1" applyFill="1" applyBorder="1" applyAlignment="1" applyProtection="1">
      <alignment horizontal="center" vertical="center" textRotation="255" wrapText="1"/>
      <protection hidden="1"/>
    </xf>
    <xf numFmtId="43" fontId="8" fillId="7" borderId="10" xfId="17" applyFont="1" applyFill="1" applyBorder="1" applyAlignment="1" applyProtection="1">
      <alignment horizontal="center" vertical="center" textRotation="255" wrapText="1"/>
      <protection hidden="1"/>
    </xf>
    <xf numFmtId="0" fontId="0" fillId="0" borderId="0" xfId="0" applyAlignment="1" applyProtection="1">
      <alignment horizontal="left"/>
      <protection hidden="1"/>
    </xf>
    <xf numFmtId="0" fontId="15" fillId="7" borderId="4" xfId="0" applyFont="1" applyFill="1" applyBorder="1" applyAlignment="1" applyProtection="1">
      <alignment horizontal="right"/>
      <protection hidden="1"/>
    </xf>
    <xf numFmtId="0" fontId="15" fillId="7" borderId="5" xfId="0" applyFont="1" applyFill="1" applyBorder="1" applyAlignment="1" applyProtection="1">
      <alignment horizontal="right"/>
      <protection hidden="1"/>
    </xf>
    <xf numFmtId="0" fontId="15" fillId="7" borderId="6" xfId="0" applyFont="1" applyFill="1" applyBorder="1" applyAlignment="1" applyProtection="1">
      <alignment horizontal="right"/>
      <protection hidden="1"/>
    </xf>
    <xf numFmtId="0" fontId="22" fillId="12" borderId="53" xfId="0" applyFont="1" applyFill="1" applyBorder="1" applyAlignment="1" applyProtection="1">
      <alignment horizontal="center" vertical="center" wrapText="1"/>
      <protection hidden="1"/>
    </xf>
    <xf numFmtId="0" fontId="22" fillId="12" borderId="54" xfId="0" applyFont="1" applyFill="1" applyBorder="1" applyAlignment="1" applyProtection="1">
      <alignment horizontal="center" vertical="center" wrapText="1"/>
      <protection hidden="1"/>
    </xf>
    <xf numFmtId="0" fontId="22" fillId="12" borderId="55" xfId="0" applyFont="1" applyFill="1" applyBorder="1" applyAlignment="1" applyProtection="1">
      <alignment horizontal="center" vertical="center" wrapText="1"/>
      <protection hidden="1"/>
    </xf>
    <xf numFmtId="0" fontId="22" fillId="12" borderId="56" xfId="0" applyFont="1" applyFill="1" applyBorder="1" applyAlignment="1" applyProtection="1">
      <alignment horizontal="center" vertical="center" wrapText="1"/>
      <protection hidden="1"/>
    </xf>
    <xf numFmtId="0" fontId="22" fillId="12" borderId="13" xfId="0" applyFont="1" applyFill="1" applyBorder="1" applyAlignment="1" applyProtection="1">
      <alignment horizontal="center" vertical="center" wrapText="1"/>
      <protection hidden="1"/>
    </xf>
    <xf numFmtId="0" fontId="22" fillId="12" borderId="14" xfId="0" applyFont="1" applyFill="1" applyBorder="1" applyAlignment="1" applyProtection="1">
      <alignment horizontal="center" vertical="center" wrapText="1"/>
      <protection hidden="1"/>
    </xf>
    <xf numFmtId="0" fontId="22" fillId="12" borderId="57" xfId="0" applyFont="1" applyFill="1" applyBorder="1" applyAlignment="1" applyProtection="1">
      <alignment horizontal="center" vertical="center" wrapText="1"/>
      <protection hidden="1"/>
    </xf>
    <xf numFmtId="0" fontId="22" fillId="12" borderId="15" xfId="0" applyFont="1" applyFill="1" applyBorder="1" applyAlignment="1" applyProtection="1">
      <alignment horizontal="center" vertical="center" wrapText="1"/>
      <protection hidden="1"/>
    </xf>
    <xf numFmtId="0" fontId="22" fillId="12" borderId="16" xfId="0" applyFont="1" applyFill="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21" fillId="13" borderId="58" xfId="0" applyFont="1" applyFill="1" applyBorder="1" applyAlignment="1" applyProtection="1">
      <alignment horizontal="center" vertical="center" wrapText="1"/>
      <protection hidden="1"/>
    </xf>
    <xf numFmtId="0" fontId="21" fillId="13" borderId="59" xfId="0" applyFont="1" applyFill="1" applyBorder="1" applyAlignment="1" applyProtection="1">
      <alignment horizontal="center" vertical="center" wrapText="1"/>
      <protection hidden="1"/>
    </xf>
    <xf numFmtId="0" fontId="21" fillId="13" borderId="60" xfId="0" applyFont="1" applyFill="1" applyBorder="1" applyAlignment="1" applyProtection="1">
      <alignment horizontal="center" vertical="center" wrapText="1"/>
      <protection hidden="1"/>
    </xf>
    <xf numFmtId="0" fontId="21" fillId="13" borderId="61" xfId="0" applyFont="1" applyFill="1" applyBorder="1" applyAlignment="1" applyProtection="1">
      <alignment horizontal="center" vertical="center" wrapText="1"/>
      <protection hidden="1"/>
    </xf>
    <xf numFmtId="0" fontId="18" fillId="13" borderId="53" xfId="0" applyFont="1" applyFill="1" applyBorder="1" applyAlignment="1" applyProtection="1">
      <alignment horizontal="center" vertical="center" wrapText="1"/>
      <protection hidden="1"/>
    </xf>
    <xf numFmtId="0" fontId="18" fillId="13" borderId="54" xfId="0" applyFont="1" applyFill="1" applyBorder="1" applyAlignment="1" applyProtection="1">
      <alignment horizontal="center" vertical="center" wrapText="1"/>
      <protection hidden="1"/>
    </xf>
    <xf numFmtId="0" fontId="18" fillId="13" borderId="55" xfId="0" applyFont="1" applyFill="1" applyBorder="1" applyAlignment="1" applyProtection="1">
      <alignment horizontal="center" vertical="center" wrapText="1"/>
      <protection hidden="1"/>
    </xf>
    <xf numFmtId="0" fontId="18" fillId="13" borderId="56" xfId="0" applyFont="1" applyFill="1" applyBorder="1" applyAlignment="1" applyProtection="1">
      <alignment horizontal="center" vertical="center" wrapText="1"/>
      <protection hidden="1"/>
    </xf>
    <xf numFmtId="0" fontId="18" fillId="13" borderId="13" xfId="0" applyFont="1" applyFill="1" applyBorder="1" applyAlignment="1" applyProtection="1">
      <alignment horizontal="center" vertical="center" wrapText="1"/>
      <protection hidden="1"/>
    </xf>
    <xf numFmtId="0" fontId="18" fillId="13" borderId="14" xfId="0" applyFont="1" applyFill="1" applyBorder="1" applyAlignment="1" applyProtection="1">
      <alignment horizontal="center" vertical="center" wrapText="1"/>
      <protection hidden="1"/>
    </xf>
    <xf numFmtId="0" fontId="18" fillId="13" borderId="57" xfId="0" applyFont="1" applyFill="1" applyBorder="1" applyAlignment="1" applyProtection="1">
      <alignment horizontal="center" vertical="center" wrapText="1"/>
      <protection hidden="1"/>
    </xf>
    <xf numFmtId="0" fontId="18" fillId="13" borderId="15" xfId="0" applyFont="1" applyFill="1" applyBorder="1" applyAlignment="1" applyProtection="1">
      <alignment horizontal="center" vertical="center" wrapText="1"/>
      <protection hidden="1"/>
    </xf>
    <xf numFmtId="0" fontId="18" fillId="13" borderId="16" xfId="0" applyFont="1" applyFill="1" applyBorder="1" applyAlignment="1" applyProtection="1">
      <alignment horizontal="center" vertical="center" wrapText="1"/>
      <protection hidden="1"/>
    </xf>
    <xf numFmtId="0" fontId="19" fillId="13" borderId="62" xfId="0" applyFont="1" applyFill="1" applyBorder="1" applyAlignment="1" applyProtection="1">
      <alignment horizontal="center" vertical="center" wrapText="1"/>
      <protection hidden="1"/>
    </xf>
    <xf numFmtId="0" fontId="19" fillId="13" borderId="56" xfId="0" applyFont="1" applyFill="1" applyBorder="1" applyAlignment="1" applyProtection="1">
      <alignment horizontal="center" vertical="center" wrapText="1"/>
      <protection hidden="1"/>
    </xf>
    <xf numFmtId="0" fontId="22" fillId="7" borderId="53" xfId="0" applyFont="1" applyFill="1" applyBorder="1" applyAlignment="1" applyProtection="1">
      <alignment horizontal="center" vertical="center" wrapText="1"/>
      <protection hidden="1"/>
    </xf>
    <xf numFmtId="0" fontId="22" fillId="7" borderId="54" xfId="0" applyFont="1" applyFill="1" applyBorder="1" applyAlignment="1" applyProtection="1">
      <alignment horizontal="center" vertical="center" wrapText="1"/>
      <protection hidden="1"/>
    </xf>
    <xf numFmtId="0" fontId="22" fillId="7" borderId="55" xfId="0" applyFont="1" applyFill="1" applyBorder="1" applyAlignment="1" applyProtection="1">
      <alignment horizontal="center" vertical="center" wrapText="1"/>
      <protection hidden="1"/>
    </xf>
    <xf numFmtId="0" fontId="22" fillId="7" borderId="56" xfId="0" applyFont="1" applyFill="1" applyBorder="1" applyAlignment="1" applyProtection="1">
      <alignment horizontal="center" vertical="center" wrapText="1"/>
      <protection hidden="1"/>
    </xf>
    <xf numFmtId="0" fontId="22" fillId="7" borderId="13" xfId="0" applyFont="1" applyFill="1" applyBorder="1" applyAlignment="1" applyProtection="1">
      <alignment horizontal="center" vertical="center" wrapText="1"/>
      <protection hidden="1"/>
    </xf>
    <xf numFmtId="0" fontId="22" fillId="7" borderId="14" xfId="0" applyFont="1" applyFill="1" applyBorder="1" applyAlignment="1" applyProtection="1">
      <alignment horizontal="center" vertical="center" wrapText="1"/>
      <protection hidden="1"/>
    </xf>
    <xf numFmtId="0" fontId="22" fillId="7" borderId="57" xfId="0" applyFont="1" applyFill="1" applyBorder="1" applyAlignment="1" applyProtection="1">
      <alignment horizontal="center" vertical="center" wrapText="1"/>
      <protection hidden="1"/>
    </xf>
    <xf numFmtId="0" fontId="22" fillId="7" borderId="15" xfId="0" applyFont="1" applyFill="1" applyBorder="1" applyAlignment="1" applyProtection="1">
      <alignment horizontal="center" vertical="center" wrapText="1"/>
      <protection hidden="1"/>
    </xf>
    <xf numFmtId="0" fontId="22" fillId="7" borderId="16" xfId="0" applyFont="1" applyFill="1" applyBorder="1" applyAlignment="1" applyProtection="1">
      <alignment horizontal="center" vertical="center" wrapText="1"/>
      <protection hidden="1"/>
    </xf>
    <xf numFmtId="4" fontId="1" fillId="12" borderId="13" xfId="0" applyNumberFormat="1" applyFont="1" applyFill="1" applyBorder="1" applyAlignment="1" applyProtection="1">
      <alignment horizontal="center" vertical="center" wrapText="1"/>
      <protection hidden="1"/>
    </xf>
    <xf numFmtId="4" fontId="1" fillId="12" borderId="15" xfId="0" applyNumberFormat="1" applyFont="1" applyFill="1" applyBorder="1" applyAlignment="1" applyProtection="1">
      <alignment horizontal="center" vertical="center" wrapText="1"/>
      <protection hidden="1"/>
    </xf>
    <xf numFmtId="4" fontId="1" fillId="12" borderId="14" xfId="0" applyNumberFormat="1" applyFont="1" applyFill="1" applyBorder="1" applyAlignment="1" applyProtection="1">
      <alignment horizontal="center" vertical="center" wrapText="1"/>
      <protection hidden="1"/>
    </xf>
    <xf numFmtId="4" fontId="1" fillId="12" borderId="16" xfId="0" applyNumberFormat="1" applyFont="1" applyFill="1" applyBorder="1" applyAlignment="1" applyProtection="1">
      <alignment horizontal="center" vertical="center" wrapText="1"/>
      <protection hidden="1"/>
    </xf>
    <xf numFmtId="4" fontId="1" fillId="7" borderId="13" xfId="0" applyNumberFormat="1" applyFont="1" applyFill="1" applyBorder="1" applyAlignment="1" applyProtection="1">
      <alignment horizontal="center" vertical="center" wrapText="1"/>
      <protection hidden="1"/>
    </xf>
    <xf numFmtId="0" fontId="1" fillId="13" borderId="56" xfId="0" applyFont="1" applyFill="1" applyBorder="1" applyAlignment="1" applyProtection="1">
      <alignment horizontal="left"/>
      <protection hidden="1"/>
    </xf>
    <xf numFmtId="0" fontId="1" fillId="13" borderId="13" xfId="0" applyFont="1" applyFill="1" applyBorder="1" applyAlignment="1" applyProtection="1">
      <alignment horizontal="left"/>
      <protection hidden="1"/>
    </xf>
    <xf numFmtId="0" fontId="1" fillId="13" borderId="57" xfId="0" applyFont="1" applyFill="1" applyBorder="1" applyAlignment="1" applyProtection="1">
      <alignment horizontal="left"/>
      <protection hidden="1"/>
    </xf>
    <xf numFmtId="0" fontId="1" fillId="13" borderId="15" xfId="0" applyFont="1" applyFill="1" applyBorder="1" applyAlignment="1" applyProtection="1">
      <alignment horizontal="left"/>
      <protection hidden="1"/>
    </xf>
    <xf numFmtId="0" fontId="1" fillId="13" borderId="56" xfId="0" applyFont="1" applyFill="1" applyBorder="1" applyAlignment="1" applyProtection="1">
      <alignment horizontal="center" vertical="center" wrapText="1"/>
      <protection hidden="1"/>
    </xf>
    <xf numFmtId="0" fontId="1" fillId="13" borderId="13" xfId="0" applyFont="1" applyFill="1" applyBorder="1" applyAlignment="1" applyProtection="1">
      <alignment horizontal="center" vertical="center" wrapText="1"/>
      <protection hidden="1"/>
    </xf>
    <xf numFmtId="4" fontId="1" fillId="7" borderId="63" xfId="0" applyNumberFormat="1" applyFont="1" applyFill="1" applyBorder="1" applyAlignment="1" applyProtection="1">
      <alignment horizontal="center" vertical="center" wrapText="1"/>
      <protection hidden="1"/>
    </xf>
    <xf numFmtId="4" fontId="1" fillId="7" borderId="64" xfId="0" applyNumberFormat="1" applyFont="1" applyFill="1" applyBorder="1" applyAlignment="1" applyProtection="1">
      <alignment horizontal="center" vertical="center" wrapText="1"/>
      <protection hidden="1"/>
    </xf>
    <xf numFmtId="4" fontId="1" fillId="7" borderId="15" xfId="0" applyNumberFormat="1" applyFont="1" applyFill="1" applyBorder="1" applyAlignment="1" applyProtection="1">
      <alignment horizontal="center" vertical="center" wrapText="1"/>
      <protection hidden="1"/>
    </xf>
    <xf numFmtId="4" fontId="1" fillId="7" borderId="65" xfId="0" applyNumberFormat="1" applyFont="1" applyFill="1" applyBorder="1" applyAlignment="1" applyProtection="1">
      <alignment horizontal="center" vertical="center" wrapText="1"/>
      <protection hidden="1"/>
    </xf>
    <xf numFmtId="4" fontId="1" fillId="12" borderId="56" xfId="0" applyNumberFormat="1" applyFont="1" applyFill="1" applyBorder="1" applyAlignment="1" applyProtection="1">
      <alignment horizontal="center" vertical="center" wrapText="1"/>
      <protection hidden="1"/>
    </xf>
    <xf numFmtId="4" fontId="1" fillId="12" borderId="57" xfId="0" applyNumberFormat="1" applyFont="1" applyFill="1" applyBorder="1" applyAlignment="1" applyProtection="1">
      <alignment horizontal="center" vertical="center" wrapText="1"/>
      <protection hidden="1"/>
    </xf>
    <xf numFmtId="4" fontId="1" fillId="7" borderId="21" xfId="0" applyNumberFormat="1" applyFont="1" applyFill="1" applyBorder="1" applyAlignment="1" applyProtection="1">
      <alignment horizontal="center" vertical="center" wrapText="1"/>
      <protection hidden="1"/>
    </xf>
    <xf numFmtId="4" fontId="1" fillId="7" borderId="28" xfId="0" applyNumberFormat="1" applyFont="1" applyFill="1" applyBorder="1" applyAlignment="1" applyProtection="1">
      <alignment horizontal="center" vertical="center" wrapText="1"/>
      <protection hidden="1"/>
    </xf>
    <xf numFmtId="0" fontId="19" fillId="12" borderId="53" xfId="0" applyFont="1" applyFill="1" applyBorder="1" applyAlignment="1" applyProtection="1">
      <alignment horizontal="center"/>
      <protection hidden="1"/>
    </xf>
    <xf numFmtId="0" fontId="19" fillId="12" borderId="54" xfId="0" applyFont="1" applyFill="1" applyBorder="1" applyAlignment="1" applyProtection="1">
      <alignment horizontal="center"/>
      <protection hidden="1"/>
    </xf>
    <xf numFmtId="0" fontId="20" fillId="12" borderId="54" xfId="0" applyFont="1" applyFill="1" applyBorder="1" applyAlignment="1" applyProtection="1">
      <alignment horizontal="center" vertical="center" wrapText="1"/>
      <protection hidden="1"/>
    </xf>
    <xf numFmtId="0" fontId="20" fillId="12" borderId="13" xfId="0" applyFont="1" applyFill="1" applyBorder="1" applyAlignment="1" applyProtection="1">
      <alignment horizontal="center" vertical="center" wrapText="1"/>
      <protection hidden="1"/>
    </xf>
    <xf numFmtId="4" fontId="1" fillId="10" borderId="13" xfId="0" applyNumberFormat="1" applyFont="1" applyFill="1" applyBorder="1" applyAlignment="1" applyProtection="1">
      <alignment horizontal="center" vertical="center" wrapText="1"/>
      <protection hidden="1" locked="0"/>
    </xf>
    <xf numFmtId="4" fontId="1" fillId="10" borderId="14" xfId="0" applyNumberFormat="1" applyFont="1" applyFill="1" applyBorder="1" applyAlignment="1" applyProtection="1">
      <alignment horizontal="center" vertical="center" wrapText="1"/>
      <protection hidden="1" locked="0"/>
    </xf>
    <xf numFmtId="0" fontId="19" fillId="7" borderId="53" xfId="0" applyFont="1" applyFill="1" applyBorder="1" applyAlignment="1" applyProtection="1">
      <alignment horizontal="center"/>
      <protection hidden="1"/>
    </xf>
    <xf numFmtId="0" fontId="19" fillId="7" borderId="54" xfId="0" applyFont="1" applyFill="1" applyBorder="1" applyAlignment="1" applyProtection="1">
      <alignment horizontal="center"/>
      <protection hidden="1"/>
    </xf>
    <xf numFmtId="0" fontId="19" fillId="7" borderId="56" xfId="0" applyFont="1" applyFill="1" applyBorder="1" applyAlignment="1" applyProtection="1">
      <alignment horizontal="center" vertical="center" wrapText="1"/>
      <protection hidden="1"/>
    </xf>
    <xf numFmtId="0" fontId="19" fillId="7" borderId="13" xfId="0" applyFont="1" applyFill="1" applyBorder="1" applyAlignment="1" applyProtection="1">
      <alignment horizontal="center" vertical="center" wrapText="1"/>
      <protection hidden="1"/>
    </xf>
    <xf numFmtId="0" fontId="20" fillId="7" borderId="54" xfId="0" applyFont="1" applyFill="1" applyBorder="1" applyAlignment="1" applyProtection="1">
      <alignment horizontal="center" vertical="center" wrapText="1"/>
      <protection hidden="1"/>
    </xf>
    <xf numFmtId="0" fontId="20" fillId="7" borderId="13" xfId="0" applyFont="1" applyFill="1" applyBorder="1" applyAlignment="1" applyProtection="1">
      <alignment horizontal="center" vertical="center" wrapText="1"/>
      <protection hidden="1"/>
    </xf>
    <xf numFmtId="0" fontId="19" fillId="7" borderId="55" xfId="0" applyFont="1" applyFill="1" applyBorder="1" applyAlignment="1" applyProtection="1">
      <alignment horizontal="center" vertical="center" wrapText="1"/>
      <protection hidden="1"/>
    </xf>
    <xf numFmtId="0" fontId="19" fillId="7" borderId="14" xfId="0" applyFont="1" applyFill="1" applyBorder="1" applyAlignment="1" applyProtection="1">
      <alignment horizontal="center" vertical="center" wrapText="1"/>
      <protection hidden="1"/>
    </xf>
    <xf numFmtId="0" fontId="1" fillId="13" borderId="56" xfId="0" applyFont="1" applyFill="1" applyBorder="1" applyAlignment="1" applyProtection="1">
      <alignment horizontal="center" vertical="center" wrapText="1"/>
      <protection hidden="1"/>
    </xf>
    <xf numFmtId="0" fontId="1" fillId="13" borderId="57" xfId="0" applyFont="1" applyFill="1" applyBorder="1" applyAlignment="1" applyProtection="1">
      <alignment horizontal="center" vertical="center" wrapText="1"/>
      <protection hidden="1"/>
    </xf>
    <xf numFmtId="4" fontId="1" fillId="7" borderId="56" xfId="0" applyNumberFormat="1" applyFont="1" applyFill="1" applyBorder="1" applyAlignment="1" applyProtection="1">
      <alignment horizontal="center" vertical="center" wrapText="1"/>
      <protection hidden="1"/>
    </xf>
    <xf numFmtId="4" fontId="1" fillId="7" borderId="57" xfId="0" applyNumberFormat="1" applyFont="1" applyFill="1" applyBorder="1" applyAlignment="1" applyProtection="1">
      <alignment horizontal="center" vertical="center" wrapText="1"/>
      <protection hidden="1"/>
    </xf>
    <xf numFmtId="4" fontId="1" fillId="13" borderId="13" xfId="0" applyNumberFormat="1" applyFont="1" applyFill="1" applyBorder="1" applyAlignment="1" applyProtection="1">
      <alignment horizontal="center" vertical="center" wrapText="1"/>
      <protection hidden="1"/>
    </xf>
    <xf numFmtId="4" fontId="1" fillId="10" borderId="15" xfId="0" applyNumberFormat="1" applyFont="1" applyFill="1" applyBorder="1" applyAlignment="1" applyProtection="1">
      <alignment horizontal="center" vertical="center" wrapText="1"/>
      <protection hidden="1" locked="0"/>
    </xf>
    <xf numFmtId="4" fontId="1" fillId="13" borderId="15" xfId="0" applyNumberFormat="1"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4" fontId="1" fillId="7" borderId="28" xfId="0" applyNumberFormat="1" applyFont="1" applyFill="1" applyBorder="1" applyAlignment="1" applyProtection="1">
      <alignment horizontal="center" vertical="center" wrapText="1"/>
      <protection hidden="1" locked="0"/>
    </xf>
    <xf numFmtId="0" fontId="19" fillId="12" borderId="55" xfId="0" applyFont="1" applyFill="1" applyBorder="1" applyAlignment="1" applyProtection="1">
      <alignment horizontal="center" vertical="center" wrapText="1"/>
      <protection hidden="1"/>
    </xf>
    <xf numFmtId="0" fontId="19" fillId="12" borderId="14" xfId="0" applyFont="1" applyFill="1" applyBorder="1" applyAlignment="1" applyProtection="1">
      <alignment horizontal="center" vertical="center" wrapText="1"/>
      <protection hidden="1"/>
    </xf>
    <xf numFmtId="0" fontId="19" fillId="12" borderId="56" xfId="0" applyFont="1" applyFill="1" applyBorder="1" applyAlignment="1" applyProtection="1">
      <alignment horizontal="center" vertical="center" wrapText="1"/>
      <protection hidden="1"/>
    </xf>
    <xf numFmtId="0" fontId="19" fillId="12" borderId="13" xfId="0" applyFont="1" applyFill="1" applyBorder="1" applyAlignment="1" applyProtection="1">
      <alignment horizontal="center" vertical="center" wrapText="1"/>
      <protection hidden="1"/>
    </xf>
    <xf numFmtId="0" fontId="19" fillId="13" borderId="65" xfId="0" applyFont="1" applyFill="1" applyBorder="1" applyAlignment="1" applyProtection="1">
      <alignment horizontal="center" vertical="center" wrapText="1"/>
      <protection hidden="1"/>
    </xf>
    <xf numFmtId="0" fontId="19" fillId="13" borderId="14" xfId="0" applyFont="1" applyFill="1" applyBorder="1" applyAlignment="1" applyProtection="1">
      <alignment horizontal="center" vertical="center" wrapText="1"/>
      <protection hidden="1"/>
    </xf>
    <xf numFmtId="4" fontId="1" fillId="10" borderId="16" xfId="0" applyNumberFormat="1" applyFont="1" applyFill="1" applyBorder="1" applyAlignment="1" applyProtection="1">
      <alignment horizontal="center" vertical="center" wrapText="1"/>
      <protection hidden="1" locked="0"/>
    </xf>
    <xf numFmtId="0" fontId="19" fillId="13" borderId="46" xfId="0" applyFont="1" applyFill="1" applyBorder="1" applyAlignment="1" applyProtection="1">
      <alignment horizontal="center"/>
      <protection hidden="1"/>
    </xf>
    <xf numFmtId="0" fontId="19" fillId="13" borderId="13" xfId="0" applyFont="1" applyFill="1" applyBorder="1" applyAlignment="1" applyProtection="1">
      <alignment horizontal="center" vertical="center" wrapText="1"/>
      <protection hidden="1"/>
    </xf>
    <xf numFmtId="0" fontId="20" fillId="13" borderId="46" xfId="0" applyFont="1" applyFill="1" applyBorder="1" applyAlignment="1" applyProtection="1">
      <alignment horizontal="center" vertical="center" wrapText="1"/>
      <protection hidden="1"/>
    </xf>
    <xf numFmtId="0" fontId="20" fillId="13" borderId="13" xfId="0" applyFont="1" applyFill="1" applyBorder="1" applyAlignment="1" applyProtection="1">
      <alignment horizontal="center" vertical="center" wrapText="1"/>
      <protection hidden="1"/>
    </xf>
    <xf numFmtId="0" fontId="37" fillId="18" borderId="0" xfId="0" applyFont="1" applyFill="1" applyAlignment="1" applyProtection="1">
      <alignment horizontal="center"/>
      <protection locked="0"/>
    </xf>
    <xf numFmtId="0" fontId="0" fillId="2" borderId="0" xfId="0" applyFill="1" applyAlignment="1" applyProtection="1">
      <alignment horizontal="center"/>
      <protection hidden="1"/>
    </xf>
    <xf numFmtId="0" fontId="0" fillId="2" borderId="0" xfId="0" applyFill="1" applyAlignment="1">
      <alignment horizontal="center"/>
    </xf>
    <xf numFmtId="43" fontId="1" fillId="10" borderId="60" xfId="17" applyFont="1" applyFill="1" applyBorder="1" applyAlignment="1" applyProtection="1">
      <alignment horizontal="center" vertical="center"/>
      <protection hidden="1" locked="0"/>
    </xf>
    <xf numFmtId="43" fontId="1" fillId="10" borderId="61" xfId="17" applyFont="1" applyFill="1" applyBorder="1" applyAlignment="1" applyProtection="1">
      <alignment horizontal="center" vertical="center"/>
      <protection hidden="1" locked="0"/>
    </xf>
    <xf numFmtId="43" fontId="1" fillId="10" borderId="66" xfId="17" applyFont="1" applyFill="1" applyBorder="1" applyAlignment="1" applyProtection="1">
      <alignment horizontal="center" vertical="center"/>
      <protection hidden="1" locked="0"/>
    </xf>
    <xf numFmtId="43" fontId="1" fillId="10" borderId="67" xfId="17" applyFont="1" applyFill="1" applyBorder="1" applyAlignment="1" applyProtection="1">
      <alignment horizontal="center" vertical="center"/>
      <protection hidden="1" locked="0"/>
    </xf>
    <xf numFmtId="0" fontId="15" fillId="7" borderId="0" xfId="0" applyFont="1" applyFill="1" applyAlignment="1">
      <alignment horizontal="left" vertical="center" wrapText="1"/>
    </xf>
    <xf numFmtId="0" fontId="22" fillId="7" borderId="0" xfId="0" applyFont="1" applyFill="1" applyAlignment="1">
      <alignment horizontal="center"/>
    </xf>
    <xf numFmtId="0" fontId="40" fillId="7" borderId="0" xfId="0" applyFont="1" applyFill="1" applyAlignment="1">
      <alignment horizontal="justify" vertical="top" wrapText="1"/>
    </xf>
    <xf numFmtId="0" fontId="35" fillId="7" borderId="0" xfId="0" applyFont="1" applyFill="1" applyAlignment="1">
      <alignment horizontal="justify" vertical="top" wrapText="1"/>
    </xf>
    <xf numFmtId="0" fontId="4" fillId="13" borderId="0" xfId="0" applyFont="1" applyFill="1" applyAlignment="1">
      <alignment horizontal="left"/>
    </xf>
    <xf numFmtId="0" fontId="31" fillId="13" borderId="0" xfId="0" applyFont="1" applyFill="1" applyAlignment="1">
      <alignment horizontal="left"/>
    </xf>
    <xf numFmtId="0" fontId="4" fillId="7" borderId="0" xfId="0" applyFont="1" applyFill="1" applyAlignment="1">
      <alignment horizontal="left"/>
    </xf>
    <xf numFmtId="0" fontId="30" fillId="13" borderId="0" xfId="0" applyFont="1" applyFill="1" applyAlignment="1">
      <alignment horizontal="left"/>
    </xf>
    <xf numFmtId="0" fontId="4" fillId="7" borderId="0" xfId="0" applyFont="1" applyFill="1" applyAlignment="1">
      <alignment horizontal="center"/>
    </xf>
    <xf numFmtId="0" fontId="41" fillId="7" borderId="0" xfId="0" applyFont="1" applyFill="1" applyAlignment="1">
      <alignment horizontal="left" vertical="center" wrapText="1"/>
    </xf>
    <xf numFmtId="0" fontId="30" fillId="13" borderId="0" xfId="0" applyFont="1" applyFill="1" applyAlignment="1">
      <alignment horizontal="left" vertical="center" wrapText="1"/>
    </xf>
    <xf numFmtId="0" fontId="25" fillId="2" borderId="68" xfId="15" applyFont="1" applyFill="1" applyBorder="1" applyAlignment="1" applyProtection="1">
      <alignment horizontal="center"/>
      <protection hidden="1"/>
    </xf>
    <xf numFmtId="0" fontId="25" fillId="2" borderId="0" xfId="15" applyFont="1" applyFill="1" applyBorder="1" applyAlignment="1" applyProtection="1">
      <alignment horizontal="center"/>
      <protection hidden="1"/>
    </xf>
    <xf numFmtId="0" fontId="25" fillId="2" borderId="69" xfId="15" applyFont="1" applyFill="1" applyBorder="1" applyAlignment="1" applyProtection="1">
      <alignment horizontal="center"/>
      <protection hidden="1"/>
    </xf>
    <xf numFmtId="0" fontId="28" fillId="11" borderId="70" xfId="0" applyFont="1" applyFill="1" applyBorder="1" applyAlignment="1">
      <alignment horizontal="center" vertical="center" wrapText="1"/>
    </xf>
    <xf numFmtId="0" fontId="28" fillId="11" borderId="71" xfId="0" applyFont="1" applyFill="1" applyBorder="1" applyAlignment="1">
      <alignment horizontal="center" vertical="center" wrapText="1"/>
    </xf>
    <xf numFmtId="0" fontId="28" fillId="11" borderId="72" xfId="0" applyFont="1" applyFill="1" applyBorder="1" applyAlignment="1">
      <alignment horizontal="center" vertical="center" wrapText="1"/>
    </xf>
    <xf numFmtId="0" fontId="28" fillId="11" borderId="73" xfId="0" applyFont="1" applyFill="1" applyBorder="1" applyAlignment="1">
      <alignment horizontal="center" vertical="center" wrapText="1"/>
    </xf>
    <xf numFmtId="0" fontId="28" fillId="11" borderId="74" xfId="0" applyFont="1" applyFill="1" applyBorder="1" applyAlignment="1">
      <alignment horizontal="center" vertical="center" wrapText="1"/>
    </xf>
    <xf numFmtId="0" fontId="28" fillId="11" borderId="75" xfId="0" applyFont="1" applyFill="1" applyBorder="1" applyAlignment="1">
      <alignment horizontal="center" vertical="center" wrapText="1"/>
    </xf>
    <xf numFmtId="0" fontId="25" fillId="2" borderId="76" xfId="0" applyFont="1" applyFill="1" applyBorder="1" applyAlignment="1" applyProtection="1">
      <alignment horizontal="left"/>
      <protection hidden="1"/>
    </xf>
    <xf numFmtId="0" fontId="25" fillId="2" borderId="77" xfId="0" applyFont="1" applyFill="1" applyBorder="1" applyAlignment="1" applyProtection="1">
      <alignment horizontal="left"/>
      <protection hidden="1"/>
    </xf>
    <xf numFmtId="0" fontId="25" fillId="2" borderId="78" xfId="0" applyFont="1" applyFill="1" applyBorder="1" applyAlignment="1" applyProtection="1">
      <alignment horizontal="left"/>
      <protection hidden="1"/>
    </xf>
    <xf numFmtId="0" fontId="26" fillId="2" borderId="68"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0" fontId="26" fillId="2" borderId="69" xfId="0"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11">
    <dxf>
      <font>
        <b/>
        <i val="0"/>
        <strike val="0"/>
        <color rgb="FF0000FF"/>
      </font>
      <fill>
        <patternFill>
          <bgColor rgb="FFCCFFFF"/>
        </patternFill>
      </fill>
      <border>
        <left style="thin">
          <color rgb="FF00CCFF"/>
        </left>
        <right style="thin">
          <color rgb="FF000000"/>
        </right>
        <top style="thin"/>
        <bottom style="thin">
          <color rgb="FF000000"/>
        </bottom>
      </border>
    </dxf>
    <dxf>
      <font>
        <b/>
        <i/>
        <color rgb="FFFFFF00"/>
      </font>
      <fill>
        <patternFill>
          <bgColor rgb="FFFF0000"/>
        </patternFill>
      </fill>
      <border/>
    </dxf>
    <dxf>
      <fill>
        <patternFill>
          <bgColor rgb="FF00FFFF"/>
        </patternFill>
      </fill>
      <border/>
    </dxf>
    <dxf>
      <font>
        <b/>
        <i val="0"/>
      </font>
      <fill>
        <patternFill>
          <bgColor rgb="FFFFCC99"/>
        </patternFill>
      </fill>
      <border/>
    </dxf>
    <dxf>
      <font>
        <b/>
        <i val="0"/>
        <color rgb="FFFFFF00"/>
      </font>
      <fill>
        <patternFill>
          <bgColor rgb="FFFF0000"/>
        </patternFill>
      </fill>
      <border/>
    </dxf>
    <dxf>
      <font>
        <b/>
        <i val="0"/>
      </font>
      <fill>
        <patternFill>
          <bgColor rgb="FFCCFFFF"/>
        </patternFill>
      </fill>
      <border>
        <left style="thin">
          <color rgb="FF0000FF"/>
        </left>
        <right style="thin">
          <color rgb="FF0000FF"/>
        </right>
        <top style="thin"/>
        <bottom style="thin">
          <color rgb="FF0000FF"/>
        </bottom>
      </border>
    </dxf>
    <dxf>
      <font>
        <b/>
        <i val="0"/>
        <color rgb="FFFF0000"/>
      </font>
      <fill>
        <patternFill>
          <bgColor rgb="FFFFFF99"/>
        </patternFill>
      </fill>
      <border/>
    </dxf>
    <dxf>
      <font>
        <strike val="0"/>
        <color rgb="FFFF0000"/>
      </font>
      <fill>
        <patternFill>
          <bgColor rgb="FFFFFF99"/>
        </patternFill>
      </fill>
      <border/>
    </dxf>
    <dxf>
      <font>
        <b/>
        <i val="0"/>
        <color rgb="FFFFFF00"/>
      </font>
      <fill>
        <patternFill>
          <bgColor rgb="FFFF0000"/>
        </patternFill>
      </fill>
      <border>
        <left style="thin">
          <color rgb="FFFFFF00"/>
        </left>
        <right style="thin">
          <color rgb="FFFFFF00"/>
        </right>
        <top style="thin"/>
        <bottom style="thin">
          <color rgb="FFFFFF00"/>
        </bottom>
      </border>
    </dxf>
    <dxf>
      <font>
        <b/>
        <i/>
        <color rgb="FF800000"/>
      </font>
      <fill>
        <patternFill>
          <bgColor rgb="FFFFCC99"/>
        </patternFill>
      </fill>
      <border/>
    </dxf>
    <dxf>
      <font>
        <b/>
        <i val="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14</xdr:row>
      <xdr:rowOff>76200</xdr:rowOff>
    </xdr:from>
    <xdr:to>
      <xdr:col>34</xdr:col>
      <xdr:colOff>495300</xdr:colOff>
      <xdr:row>39</xdr:row>
      <xdr:rowOff>57150</xdr:rowOff>
    </xdr:to>
    <xdr:sp>
      <xdr:nvSpPr>
        <xdr:cNvPr id="1" name="AutoShape 282"/>
        <xdr:cNvSpPr>
          <a:spLocks/>
        </xdr:cNvSpPr>
      </xdr:nvSpPr>
      <xdr:spPr>
        <a:xfrm>
          <a:off x="9182100" y="2295525"/>
          <a:ext cx="2466975" cy="3743325"/>
        </a:xfrm>
        <a:prstGeom prst="wedgeEllipseCallout">
          <a:avLst>
            <a:gd name="adj1" fmla="val -54245"/>
            <a:gd name="adj2" fmla="val 59162"/>
          </a:avLst>
        </a:prstGeom>
        <a:solidFill>
          <a:srgbClr val="FFFFCC">
            <a:alpha val="86000"/>
          </a:srgbClr>
        </a:solidFill>
        <a:ln w="9525" cmpd="sng">
          <a:solidFill>
            <a:srgbClr val="FF0000"/>
          </a:solidFill>
          <a:headEnd type="none"/>
          <a:tailEnd type="none"/>
        </a:ln>
      </xdr:spPr>
      <xdr:txBody>
        <a:bodyPr vertOverflow="clip" wrap="square"/>
        <a:p>
          <a:pPr algn="l">
            <a:defRPr/>
          </a:pPr>
          <a:r>
            <a:rPr lang="en-US" cap="none" sz="1100" b="1" i="1" u="none" baseline="0">
              <a:solidFill>
                <a:srgbClr val="FF0000"/>
              </a:solidFill>
              <a:latin typeface="Times New Roman"/>
              <a:ea typeface="Times New Roman"/>
              <a:cs typeface="Times New Roman"/>
            </a:rPr>
            <a:t>       IN REGIME TFR
Campo da valorizzare con l'importo della retribuzione effettivamente percepita senza abbattimento all'80%. La gratifica va indicata nel mese di corresponsione.
Se non ci sono assenze che comportano riduzioni stipendiali per i mesi in cui non viene corrisposta la gratifica annuale, i valori del campo 43 e 44 coincidono</a:t>
          </a:r>
        </a:p>
      </xdr:txBody>
    </xdr:sp>
    <xdr:clientData/>
  </xdr:twoCellAnchor>
  <xdr:twoCellAnchor>
    <xdr:from>
      <xdr:col>25</xdr:col>
      <xdr:colOff>180975</xdr:colOff>
      <xdr:row>0</xdr:row>
      <xdr:rowOff>104775</xdr:rowOff>
    </xdr:from>
    <xdr:to>
      <xdr:col>34</xdr:col>
      <xdr:colOff>247650</xdr:colOff>
      <xdr:row>16</xdr:row>
      <xdr:rowOff>85725</xdr:rowOff>
    </xdr:to>
    <xdr:sp>
      <xdr:nvSpPr>
        <xdr:cNvPr id="2" name="AutoShape 283"/>
        <xdr:cNvSpPr>
          <a:spLocks/>
        </xdr:cNvSpPr>
      </xdr:nvSpPr>
      <xdr:spPr>
        <a:xfrm flipV="1">
          <a:off x="9201150" y="104775"/>
          <a:ext cx="2200275" cy="2524125"/>
        </a:xfrm>
        <a:prstGeom prst="cloudCallout">
          <a:avLst>
            <a:gd name="adj1" fmla="val -62990"/>
            <a:gd name="adj2" fmla="val 39430"/>
          </a:avLst>
        </a:prstGeom>
        <a:solidFill>
          <a:srgbClr val="CCFFFF"/>
        </a:solidFill>
        <a:ln w="9525" cmpd="sng">
          <a:solidFill>
            <a:srgbClr val="0000FF"/>
          </a:solidFill>
          <a:headEnd type="none"/>
          <a:tailEnd type="none"/>
        </a:ln>
      </xdr:spPr>
      <xdr:txBody>
        <a:bodyPr vertOverflow="clip" wrap="square"/>
        <a:p>
          <a:pPr algn="l">
            <a:defRPr/>
          </a:pPr>
          <a:r>
            <a:rPr lang="en-US" cap="none" sz="1000" b="1" i="0" u="none" baseline="0">
              <a:solidFill>
                <a:srgbClr val="0000FF"/>
              </a:solidFill>
              <a:latin typeface="Times New Roman"/>
              <a:ea typeface="Times New Roman"/>
              <a:cs typeface="Times New Roman"/>
            </a:rPr>
            <a:t>Inseriti il Quadro F1 e la generazione automatica dei principali Codici di Versamento. 
Inseriti, inoltre,  i pulsanti per la stampa dei singoli Quadri.
I prestiti e i mutui non vanno ancora valorizzati nel Quadro F1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useppe.rizzo03@giustizia.it" TargetMode="External" /><Relationship Id="rId2" Type="http://schemas.openxmlformats.org/officeDocument/2006/relationships/hyperlink" Target="mailto:giu08.ri@gmail.com"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97"/>
  <sheetViews>
    <sheetView tabSelected="1" workbookViewId="0" topLeftCell="A1">
      <selection activeCell="M1" sqref="M1:Q2"/>
    </sheetView>
  </sheetViews>
  <sheetFormatPr defaultColWidth="9.33203125" defaultRowHeight="12.75"/>
  <cols>
    <col min="1" max="1" width="23.5" style="0" customWidth="1"/>
    <col min="2" max="2" width="4" style="0" customWidth="1"/>
    <col min="3" max="3" width="4.33203125" style="0" customWidth="1"/>
    <col min="4" max="4" width="10" style="0" customWidth="1"/>
    <col min="5" max="5" width="9.83203125" style="0" customWidth="1"/>
    <col min="6" max="6" width="10.5" style="0" hidden="1" customWidth="1"/>
    <col min="7" max="7" width="10.33203125" style="0" customWidth="1"/>
    <col min="9" max="10" width="9.16015625" style="0" customWidth="1"/>
    <col min="11" max="11" width="9.83203125" style="0" customWidth="1"/>
    <col min="12" max="12" width="9.5" style="0" customWidth="1"/>
    <col min="13" max="15" width="9.83203125" style="0" customWidth="1"/>
    <col min="16" max="16" width="9.5" style="0" customWidth="1"/>
    <col min="17" max="17" width="9.83203125" style="0" customWidth="1"/>
    <col min="18" max="18" width="0" style="0" hidden="1" customWidth="1"/>
    <col min="19" max="21" width="9.5" style="0" hidden="1" customWidth="1"/>
    <col min="22" max="22" width="10.33203125" style="0" hidden="1" customWidth="1"/>
    <col min="23" max="23" width="9.5" style="0" hidden="1" customWidth="1"/>
    <col min="24" max="24" width="10" style="0" hidden="1" customWidth="1"/>
    <col min="25" max="25" width="9.5" style="0" hidden="1" customWidth="1"/>
    <col min="27" max="28" width="9.5" style="0" hidden="1" customWidth="1"/>
    <col min="29" max="31" width="0" style="0" hidden="1" customWidth="1"/>
  </cols>
  <sheetData>
    <row r="1" spans="1:33" ht="19.5" customHeight="1">
      <c r="A1" s="190" t="s">
        <v>0</v>
      </c>
      <c r="B1" s="190"/>
      <c r="C1" s="190"/>
      <c r="D1" s="190"/>
      <c r="E1" s="190"/>
      <c r="F1" s="190"/>
      <c r="G1" s="190"/>
      <c r="H1" s="190"/>
      <c r="I1" s="190"/>
      <c r="J1" s="190"/>
      <c r="K1" s="190"/>
      <c r="L1" s="190"/>
      <c r="M1" s="189" t="s">
        <v>156</v>
      </c>
      <c r="N1" s="189"/>
      <c r="O1" s="189"/>
      <c r="P1" s="189"/>
      <c r="Q1" s="189"/>
      <c r="R1" s="2"/>
      <c r="S1" s="2"/>
      <c r="T1" s="2"/>
      <c r="U1" s="2"/>
      <c r="V1" s="2"/>
      <c r="W1" s="2"/>
      <c r="X1" s="2"/>
      <c r="Y1" s="2"/>
      <c r="Z1" s="5"/>
      <c r="AA1" s="2"/>
      <c r="AB1" s="2"/>
      <c r="AC1" s="2"/>
      <c r="AD1" s="2"/>
      <c r="AE1" s="2"/>
      <c r="AF1" s="2"/>
      <c r="AG1" s="2"/>
    </row>
    <row r="2" spans="1:33" ht="19.5">
      <c r="A2" s="191" t="s">
        <v>90</v>
      </c>
      <c r="B2" s="191"/>
      <c r="C2" s="191"/>
      <c r="D2" s="191"/>
      <c r="E2" s="191"/>
      <c r="F2" s="191"/>
      <c r="G2" s="191"/>
      <c r="H2" s="191"/>
      <c r="I2" s="191"/>
      <c r="J2" s="191"/>
      <c r="K2" s="191"/>
      <c r="L2" s="191"/>
      <c r="M2" s="189"/>
      <c r="N2" s="189"/>
      <c r="O2" s="189"/>
      <c r="P2" s="189"/>
      <c r="Q2" s="189"/>
      <c r="R2" s="2"/>
      <c r="S2" s="2"/>
      <c r="T2" s="2"/>
      <c r="U2" s="2"/>
      <c r="V2" s="2"/>
      <c r="W2" s="2"/>
      <c r="X2" s="2"/>
      <c r="Y2" s="2"/>
      <c r="Z2" s="5"/>
      <c r="AA2" s="2"/>
      <c r="AB2" s="2"/>
      <c r="AC2" s="2"/>
      <c r="AD2" s="2"/>
      <c r="AE2" s="2"/>
      <c r="AF2" s="2"/>
      <c r="AG2" s="2"/>
    </row>
    <row r="3" spans="1:33" ht="3.75" customHeight="1" thickBot="1">
      <c r="A3" s="254"/>
      <c r="B3" s="254"/>
      <c r="C3" s="254"/>
      <c r="D3" s="254"/>
      <c r="E3" s="254"/>
      <c r="F3" s="254"/>
      <c r="G3" s="254"/>
      <c r="H3" s="254"/>
      <c r="I3" s="254"/>
      <c r="J3" s="254"/>
      <c r="K3" s="254"/>
      <c r="L3" s="254"/>
      <c r="M3" s="254"/>
      <c r="N3" s="254"/>
      <c r="O3" s="254"/>
      <c r="P3" s="254"/>
      <c r="Q3" s="254"/>
      <c r="R3" s="2"/>
      <c r="S3" s="2"/>
      <c r="T3" s="2"/>
      <c r="U3" s="2"/>
      <c r="V3" s="2"/>
      <c r="W3" s="2"/>
      <c r="X3" s="2"/>
      <c r="Y3" s="2"/>
      <c r="Z3" s="5"/>
      <c r="AA3" s="2"/>
      <c r="AB3" s="2"/>
      <c r="AC3" s="2"/>
      <c r="AD3" s="2"/>
      <c r="AE3" s="2"/>
      <c r="AF3" s="2"/>
      <c r="AG3" s="2"/>
    </row>
    <row r="4" spans="1:33" ht="13.5">
      <c r="A4" s="246" t="s">
        <v>1</v>
      </c>
      <c r="B4" s="246"/>
      <c r="C4" s="246"/>
      <c r="D4" s="247"/>
      <c r="E4" s="110" t="s">
        <v>2</v>
      </c>
      <c r="F4" s="111"/>
      <c r="G4" s="255"/>
      <c r="H4" s="255"/>
      <c r="I4" s="256"/>
      <c r="J4" s="256"/>
      <c r="K4" s="57" t="s">
        <v>3</v>
      </c>
      <c r="L4" s="248"/>
      <c r="M4" s="249"/>
      <c r="N4" s="250"/>
      <c r="O4" s="58" t="s">
        <v>4</v>
      </c>
      <c r="P4" s="112"/>
      <c r="Q4" s="43"/>
      <c r="R4" s="2"/>
      <c r="S4" s="2"/>
      <c r="T4" s="2"/>
      <c r="U4" s="2"/>
      <c r="V4" s="2"/>
      <c r="W4" s="2"/>
      <c r="X4" s="2"/>
      <c r="Y4" s="2"/>
      <c r="Z4" s="5"/>
      <c r="AA4" s="2"/>
      <c r="AB4" s="2"/>
      <c r="AC4" s="2"/>
      <c r="AD4" s="2"/>
      <c r="AE4" s="2"/>
      <c r="AF4" s="2"/>
      <c r="AG4" s="2"/>
    </row>
    <row r="5" spans="1:36" ht="12.75">
      <c r="A5" s="237" t="s">
        <v>32</v>
      </c>
      <c r="B5" s="237"/>
      <c r="C5" s="237"/>
      <c r="D5" s="237"/>
      <c r="E5" s="234" t="s">
        <v>153</v>
      </c>
      <c r="F5" s="77"/>
      <c r="G5" s="236" t="s">
        <v>52</v>
      </c>
      <c r="H5" s="236"/>
      <c r="I5" s="236"/>
      <c r="J5" s="113"/>
      <c r="K5" s="44"/>
      <c r="L5" s="44"/>
      <c r="M5" s="162" t="str">
        <f>IF($J$5="si"," gg. Presenza annuali"," ")</f>
        <v> </v>
      </c>
      <c r="N5" s="163"/>
      <c r="O5" s="115"/>
      <c r="P5" s="243"/>
      <c r="Q5" s="243"/>
      <c r="T5" s="2"/>
      <c r="U5" s="2"/>
      <c r="V5" s="2"/>
      <c r="W5" s="2"/>
      <c r="X5" s="2"/>
      <c r="Y5" s="2"/>
      <c r="Z5" s="5"/>
      <c r="AA5" s="2"/>
      <c r="AB5" s="2"/>
      <c r="AC5" s="2"/>
      <c r="AD5" s="2"/>
      <c r="AE5" s="2"/>
      <c r="AF5" s="2"/>
      <c r="AG5" s="2"/>
      <c r="AJ5" t="s">
        <v>177</v>
      </c>
    </row>
    <row r="6" spans="1:33" ht="12.75">
      <c r="A6" s="238"/>
      <c r="B6" s="238"/>
      <c r="C6" s="238"/>
      <c r="D6" s="238"/>
      <c r="E6" s="235"/>
      <c r="F6" s="77"/>
      <c r="G6" s="240" t="str">
        <f>IF(J5="si","Percentuale riduzione prestazione lavorativa"," ")</f>
        <v> </v>
      </c>
      <c r="H6" s="240"/>
      <c r="I6" s="240"/>
      <c r="J6" s="240"/>
      <c r="K6" s="114"/>
      <c r="L6" s="59" t="s">
        <v>109</v>
      </c>
      <c r="M6" s="162" t="str">
        <f>IF($J$5="si"," gg. Presenza mensili"," ")</f>
        <v> </v>
      </c>
      <c r="N6" s="163"/>
      <c r="O6" s="116"/>
      <c r="P6" s="243"/>
      <c r="Q6" s="243"/>
      <c r="T6" s="2"/>
      <c r="U6" s="2"/>
      <c r="V6" s="2"/>
      <c r="W6" s="2"/>
      <c r="X6" s="2"/>
      <c r="Y6" s="2"/>
      <c r="Z6" s="5"/>
      <c r="AA6" s="2"/>
      <c r="AB6" s="2"/>
      <c r="AC6" s="2"/>
      <c r="AD6" s="2"/>
      <c r="AE6" s="2"/>
      <c r="AF6" s="2"/>
      <c r="AG6" s="2"/>
    </row>
    <row r="7" spans="1:33" ht="3.75" customHeight="1">
      <c r="A7" s="241" t="s">
        <v>154</v>
      </c>
      <c r="B7" s="241"/>
      <c r="C7" s="241"/>
      <c r="D7" s="241"/>
      <c r="E7" s="241"/>
      <c r="F7" s="241"/>
      <c r="G7" s="241"/>
      <c r="H7" s="241"/>
      <c r="I7" s="241"/>
      <c r="J7" s="241"/>
      <c r="K7" s="241"/>
      <c r="L7" s="241"/>
      <c r="M7" s="241"/>
      <c r="N7" s="241"/>
      <c r="O7" s="241"/>
      <c r="P7" s="241"/>
      <c r="Q7" s="241"/>
      <c r="R7" s="2"/>
      <c r="S7" s="2"/>
      <c r="T7" s="2"/>
      <c r="U7" s="2"/>
      <c r="V7" s="2"/>
      <c r="W7" s="2"/>
      <c r="X7" s="2"/>
      <c r="Y7" s="2"/>
      <c r="Z7" s="5"/>
      <c r="AA7" s="2"/>
      <c r="AB7" s="2"/>
      <c r="AC7" s="2"/>
      <c r="AD7" s="2"/>
      <c r="AE7" s="2"/>
      <c r="AF7" s="2"/>
      <c r="AG7" s="2"/>
    </row>
    <row r="8" spans="1:33" ht="12.75" customHeight="1">
      <c r="A8" s="230" t="s">
        <v>69</v>
      </c>
      <c r="B8" s="157" t="s">
        <v>80</v>
      </c>
      <c r="C8" s="231" t="s">
        <v>142</v>
      </c>
      <c r="D8" s="239" t="s">
        <v>8</v>
      </c>
      <c r="E8" s="239"/>
      <c r="F8" s="242" t="s">
        <v>132</v>
      </c>
      <c r="G8" s="164" t="s">
        <v>11</v>
      </c>
      <c r="H8" s="161" t="s">
        <v>21</v>
      </c>
      <c r="I8" s="161"/>
      <c r="J8" s="161"/>
      <c r="K8" s="161" t="s">
        <v>25</v>
      </c>
      <c r="L8" s="161"/>
      <c r="M8" s="161"/>
      <c r="N8" s="161" t="s">
        <v>34</v>
      </c>
      <c r="O8" s="161"/>
      <c r="P8" s="161"/>
      <c r="Q8" s="157" t="s">
        <v>73</v>
      </c>
      <c r="R8" s="2"/>
      <c r="S8" s="2"/>
      <c r="T8" s="2"/>
      <c r="U8" s="2"/>
      <c r="V8" s="3" t="s">
        <v>153</v>
      </c>
      <c r="W8" s="3" t="s">
        <v>154</v>
      </c>
      <c r="X8" s="3" t="s">
        <v>153</v>
      </c>
      <c r="Y8" s="3" t="s">
        <v>154</v>
      </c>
      <c r="Z8" s="5"/>
      <c r="AA8" s="2"/>
      <c r="AB8" s="2"/>
      <c r="AC8" s="2"/>
      <c r="AD8" s="2"/>
      <c r="AE8" s="2"/>
      <c r="AF8" s="2"/>
      <c r="AG8" s="2"/>
    </row>
    <row r="9" spans="1:33" ht="12.75" customHeight="1">
      <c r="A9" s="230"/>
      <c r="B9" s="157"/>
      <c r="C9" s="232"/>
      <c r="D9" s="164" t="s">
        <v>9</v>
      </c>
      <c r="E9" s="164" t="s">
        <v>10</v>
      </c>
      <c r="F9" s="242"/>
      <c r="G9" s="164"/>
      <c r="H9" s="157" t="s">
        <v>22</v>
      </c>
      <c r="I9" s="157" t="s">
        <v>70</v>
      </c>
      <c r="J9" s="157" t="s">
        <v>33</v>
      </c>
      <c r="K9" s="157" t="s">
        <v>22</v>
      </c>
      <c r="L9" s="157" t="s">
        <v>70</v>
      </c>
      <c r="M9" s="157" t="s">
        <v>33</v>
      </c>
      <c r="N9" s="157" t="s">
        <v>22</v>
      </c>
      <c r="O9" s="157" t="s">
        <v>70</v>
      </c>
      <c r="P9" s="157" t="s">
        <v>33</v>
      </c>
      <c r="Q9" s="157"/>
      <c r="R9" s="2"/>
      <c r="S9" s="2"/>
      <c r="T9" s="2"/>
      <c r="U9" s="2"/>
      <c r="V9" s="263" t="s">
        <v>134</v>
      </c>
      <c r="W9" s="263" t="s">
        <v>135</v>
      </c>
      <c r="X9" s="263" t="s">
        <v>137</v>
      </c>
      <c r="Y9" s="263" t="s">
        <v>136</v>
      </c>
      <c r="Z9" s="5"/>
      <c r="AA9" s="2"/>
      <c r="AB9" s="2"/>
      <c r="AC9" s="2"/>
      <c r="AD9" s="2"/>
      <c r="AE9" s="2"/>
      <c r="AF9" s="2"/>
      <c r="AG9" s="2"/>
    </row>
    <row r="10" spans="1:33" ht="12.75" customHeight="1">
      <c r="A10" s="230"/>
      <c r="B10" s="157"/>
      <c r="C10" s="232"/>
      <c r="D10" s="164"/>
      <c r="E10" s="164"/>
      <c r="F10" s="242"/>
      <c r="G10" s="164"/>
      <c r="H10" s="157"/>
      <c r="I10" s="157"/>
      <c r="J10" s="157"/>
      <c r="K10" s="157"/>
      <c r="L10" s="157"/>
      <c r="M10" s="157"/>
      <c r="N10" s="157"/>
      <c r="O10" s="157"/>
      <c r="P10" s="157"/>
      <c r="Q10" s="157"/>
      <c r="R10" s="2"/>
      <c r="S10" s="2" t="s">
        <v>150</v>
      </c>
      <c r="T10" s="2"/>
      <c r="U10" s="2"/>
      <c r="V10" s="263"/>
      <c r="W10" s="263"/>
      <c r="X10" s="263"/>
      <c r="Y10" s="263"/>
      <c r="Z10" s="5"/>
      <c r="AA10" s="2"/>
      <c r="AB10" s="2"/>
      <c r="AC10" s="2"/>
      <c r="AD10" s="2"/>
      <c r="AE10" s="2"/>
      <c r="AF10" s="2"/>
      <c r="AG10" s="2"/>
    </row>
    <row r="11" spans="1:33" ht="12.75">
      <c r="A11" s="230"/>
      <c r="B11" s="157"/>
      <c r="C11" s="232"/>
      <c r="D11" s="164"/>
      <c r="E11" s="164"/>
      <c r="F11" s="242"/>
      <c r="G11" s="164"/>
      <c r="H11" s="157"/>
      <c r="I11" s="157"/>
      <c r="J11" s="157"/>
      <c r="K11" s="157"/>
      <c r="L11" s="157"/>
      <c r="M11" s="157"/>
      <c r="N11" s="157"/>
      <c r="O11" s="157"/>
      <c r="P11" s="157"/>
      <c r="Q11" s="157"/>
      <c r="R11" s="2"/>
      <c r="S11" s="2"/>
      <c r="T11" s="7">
        <f>IF(gratif="SI",IF(R4="TFS",IF(Area="C3",'Stipendio tabellare e aliquote '!$H$8,IF(Area="C2",'Stipendio tabellare e aliquote '!$H$10,IF(Area="C1S",'Stipendio tabellare e aliquote '!$H$12,IF(Area="C1",'Stipendio tabellare e aliquote '!$H$14,IF(Area="B3S",'Stipendio tabellare e aliquote '!$H$16,IF(Area="B3",'Stipendio tabellare e aliquote '!$H$18,0)))))),IF(Area="C3",'Stipendio tabellare e aliquote '!$O$8,IF(Area="C2",'Stipendio tabellare e aliquote '!$O$10,IF(Area="C1S",'Stipendio tabellare e aliquote '!$O$12,IF(Area="C1",'Stipendio tabellare e aliquote '!$O$14,IF(Area="B3S",'Stipendio tabellare e aliquote '!$O$16,IF(Area="B3",'Stipendio tabellare e aliquote '!$O$18,0))))))),0)</f>
        <v>0</v>
      </c>
      <c r="U11" s="2"/>
      <c r="V11" s="264"/>
      <c r="W11" s="264"/>
      <c r="X11" s="264"/>
      <c r="Y11" s="264"/>
      <c r="Z11" s="5"/>
      <c r="AA11" s="2"/>
      <c r="AB11" s="2"/>
      <c r="AC11" s="2"/>
      <c r="AD11" s="2"/>
      <c r="AE11" s="2"/>
      <c r="AF11" s="2"/>
      <c r="AG11" s="2"/>
    </row>
    <row r="12" spans="1:33" ht="12.75">
      <c r="A12" s="88" t="str">
        <f>IF(gratif="SI","Stipendio Tab.re + Gratif.","Stipendio Tabellare")</f>
        <v>Stipendio Tabellare</v>
      </c>
      <c r="B12" s="82" t="s">
        <v>130</v>
      </c>
      <c r="C12" s="232"/>
      <c r="D12" s="117">
        <v>39083</v>
      </c>
      <c r="E12" s="117">
        <v>39447</v>
      </c>
      <c r="F12" s="83">
        <f>IF(pt="no",IF(dper="si",V19,V12),IF(dper="si",X19,X12))</f>
        <v>1587.39</v>
      </c>
      <c r="G12" s="62">
        <f>IF(tratt="TFS",IF(pt="no",IF(dper="si",V19,V12),IF(dper="si",X19,X12)),IF(pt="no",IF(dper="si",W19,W12),IF(dper="si",Y19,Y12)))</f>
        <v>1587.39</v>
      </c>
      <c r="H12" s="62">
        <f>IF(sodisc="SI",0,ROUND(F12*'Stipendio tabellare e aliquote '!$E$28%,5))</f>
        <v>140.48402</v>
      </c>
      <c r="I12" s="62">
        <f>IF(sodisc="SI",0,ROUND($F12*'Stipendio tabellare e aliquote '!$F$28%,5))</f>
        <v>377.79882</v>
      </c>
      <c r="J12" s="62">
        <f>+H12+I12</f>
        <v>518.28284</v>
      </c>
      <c r="K12" s="62">
        <f>IF(sodisc="SI",0,ROUND($F12*'Stipendio tabellare e aliquote '!$E$29%,5))</f>
        <v>5.55587</v>
      </c>
      <c r="L12" s="273" t="s">
        <v>95</v>
      </c>
      <c r="M12" s="62">
        <f>+K12</f>
        <v>5.55587</v>
      </c>
      <c r="N12" s="62">
        <f>IF(sodisc="SI",0,IF(tratt="TFS",ROUND($F12*80%*'Stipendio tabellare e aliquote '!$E$30%,5),0))</f>
        <v>31.7478</v>
      </c>
      <c r="O12" s="62">
        <f>IF(sodisc="SI",0,IF(tratt="TFS",ROUND($F12*80%*'Stipendio tabellare e aliquote '!$F$30%,5),ROUND($F12*80%*'Stipendio tabellare e aliquote '!$F$31%,5)))</f>
        <v>90.16375</v>
      </c>
      <c r="P12" s="62">
        <f>+N12+O12</f>
        <v>121.91154999999999</v>
      </c>
      <c r="Q12" s="157"/>
      <c r="R12" s="2"/>
      <c r="S12" s="7">
        <f>IF(gratif="SI",ROUND(IF(Area="C3",'Stipendio tabellare e aliquote '!$H$8,IF(Area="C2",'Stipendio tabellare e aliquote '!$H$10,IF(Area="C1S",'Stipendio tabellare e aliquote '!$H$12,IF(Area="C1",'Stipendio tabellare e aliquote '!$H$14,IF(Area="B3S",'Stipendio tabellare e aliquote '!$H$16,IF(Area="B3",'Stipendio tabellare e aliquote '!$H$18,0))))))/360*(360-ggritre),2),0)</f>
        <v>0</v>
      </c>
      <c r="T12" s="7">
        <f>ROUND(T11/360*(360-ggritre),2)</f>
        <v>0</v>
      </c>
      <c r="U12" s="2">
        <f>IF(Area="c3",1,IF(Area="C2",2,IF(Area="C1S",3,IF(Area="C1",4,IF(Area="B3S",5,IF(Area="B3",6))))))</f>
        <v>4</v>
      </c>
      <c r="V12" s="83">
        <f>ROUND(IF(Area="C3",'Stipendio tabellare e aliquote '!$H$8,IF(Area="C2",'Stipendio tabellare e aliquote '!$H$10,IF(Area="C1S",'Stipendio tabellare e aliquote '!$H$12,IF(Area="C1",'Stipendio tabellare e aliquote '!$H$14,IF(Area="B3S",'Stipendio tabellare e aliquote '!$H$16,IF(Area="B3",'Stipendio tabellare e aliquote '!$H$18,0))))))*Mater,2)+$S$16</f>
        <v>1587.39</v>
      </c>
      <c r="W12" s="62">
        <f>ROUND(IF(tratt="TFS",IF(Area="C3",'Stipendio tabellare e aliquote '!$H$8,IF(Area="C2",'Stipendio tabellare e aliquote '!$H$10,IF(Area="C1S",'Stipendio tabellare e aliquote '!$H$12,IF(Area="C1",'Stipendio tabellare e aliquote '!$H$14,IF(Area="B3S",'Stipendio tabellare e aliquote '!$H$16,IF(Area="B3",'Stipendio tabellare e aliquote '!$H$18,0)))))),IF(Area="C3",'Stipendio tabellare e aliquote '!$O$8,IF(Area="C2",'Stipendio tabellare e aliquote '!$O$10,IF(Area="C1S",'Stipendio tabellare e aliquote '!$O$12,IF(Area="C1",'Stipendio tabellare e aliquote '!$O$14,IF(Area="B3S",'Stipendio tabellare e aliquote '!$O$16,IF(Area="B3",'Stipendio tabellare e aliquote '!$O$18,0)))))))*Mater,2)+$T$16</f>
        <v>1587.39</v>
      </c>
      <c r="X12" s="83">
        <f>ROUND(IF(Area="C3",'Stipendio tabellare e aliquote '!$H$8,IF(Area="C2",'Stipendio tabellare e aliquote '!$H$10,IF(Area="C1S",'Stipendio tabellare e aliquote '!$H$12,IF(Area="C1",'Stipendio tabellare e aliquote '!$H$14,IF(Area="B3S",'Stipendio tabellare e aliquote '!$H$16,IF(Area="B3",'Stipendio tabellare e aliquote '!$H$18,0))))))*Mater,2)+$S$16</f>
        <v>1587.39</v>
      </c>
      <c r="Y12" s="62">
        <f>ROUND(IF(tratt="TFS",IF(Area="C3",'Stipendio tabellare e aliquote '!$H$8,IF(Area="C2",'Stipendio tabellare e aliquote '!$H$10,IF(Area="C1S",'Stipendio tabellare e aliquote '!$H$12,IF(Area="C1",'Stipendio tabellare e aliquote '!$H$14,IF(Area="B3S",'Stipendio tabellare e aliquote '!$H$16,IF(Area="B3",'Stipendio tabellare e aliquote '!$H$18,0)))))),IF(Area="C3",'Stipendio tabellare e aliquote '!$O$8,IF(Area="C2",'Stipendio tabellare e aliquote '!$O$10,IF(Area="C1S",'Stipendio tabellare e aliquote '!$O$12,IF(Area="C1",'Stipendio tabellare e aliquote '!$O$14,IF(Area="B3S",'Stipendio tabellare e aliquote '!$O$16,IF(Area="B3",'Stipendio tabellare e aliquote '!$O$18,0)))))))*Mater,2)+$T$16</f>
        <v>1587.39</v>
      </c>
      <c r="Z12" s="5"/>
      <c r="AA12" s="96" t="e">
        <f>IF(pt="NO",ROUND(VLOOKUP(Area1,TabStip,8)/30*$R$40,2),ROUND(VLOOKUP(Area1,TabStip,8)/$U$40*$R$40,2))</f>
        <v>#DIV/0!</v>
      </c>
      <c r="AB12" s="96">
        <f>ROUND(VLOOKUP(Area1,TabStip,8),2)</f>
        <v>1587.39</v>
      </c>
      <c r="AC12" s="2"/>
      <c r="AD12" s="2"/>
      <c r="AE12" s="2"/>
      <c r="AF12" s="2"/>
      <c r="AG12" s="2"/>
    </row>
    <row r="13" spans="1:33" ht="12.75">
      <c r="A13" s="89" t="str">
        <f>IF(gratif="SI","R.I.A. + Gratif. Ann.","R.I.A.")</f>
        <v>R.I.A.</v>
      </c>
      <c r="B13" s="60" t="str">
        <f>+B12</f>
        <v>si</v>
      </c>
      <c r="C13" s="232"/>
      <c r="D13" s="91">
        <f>IF(dal&gt;0,dal," ")</f>
        <v>39083</v>
      </c>
      <c r="E13" s="91">
        <f>IF(al&gt;0,al," ")</f>
        <v>39447</v>
      </c>
      <c r="F13" s="83">
        <f>IF(pt="no",IF(dper="si",V20,V13),IF(dper="si",X20,X13))</f>
        <v>0</v>
      </c>
      <c r="G13" s="61">
        <f>IF(tratt="TFS",IF(pt="no",IF(dper="si",V20,V13),IF(dper="si",X20,X13)),IF(pt="no",IF(dper="si",W20,W13),IF(dper="si",Y20,Y13)))</f>
        <v>0</v>
      </c>
      <c r="H13" s="61">
        <f>IF(sodisc="SI",0,ROUND(F13*'Stipendio tabellare e aliquote '!$E$28%,5))</f>
        <v>0</v>
      </c>
      <c r="I13" s="61">
        <f>IF(sodisc="SI",0,ROUND($F13*'Stipendio tabellare e aliquote '!$F$28%,5))</f>
        <v>0</v>
      </c>
      <c r="J13" s="61">
        <f aca="true" t="shared" si="0" ref="J13:J20">+H13+I13</f>
        <v>0</v>
      </c>
      <c r="K13" s="61">
        <f>IF(sodisc="SI",0,ROUND($F13*'Stipendio tabellare e aliquote '!$E$29%,5))</f>
        <v>0</v>
      </c>
      <c r="L13" s="274"/>
      <c r="M13" s="61">
        <f aca="true" t="shared" si="1" ref="M13:M20">+K13</f>
        <v>0</v>
      </c>
      <c r="N13" s="61">
        <f>IF(sodisc="SI",0,IF(tratt="TFS",ROUND($F13*80%*'Stipendio tabellare e aliquote '!$E$30%,5),0))</f>
        <v>0</v>
      </c>
      <c r="O13" s="61">
        <f>IF(sodisc="SI",0,IF(tratt="TFS",ROUND($F13*80%*'Stipendio tabellare e aliquote '!$F$30%,5),ROUND($F13*80%*'Stipendio tabellare e aliquote '!$F$31%,5)))</f>
        <v>0</v>
      </c>
      <c r="P13" s="61">
        <f aca="true" t="shared" si="2" ref="P13:P20">+N13+O13</f>
        <v>0</v>
      </c>
      <c r="Q13" s="157"/>
      <c r="R13" s="2"/>
      <c r="S13" s="7">
        <f>IF(gratif="SI",ROUND('Stipendio tabellare e aliquote '!$K$8/360*(360-ggritre),2),0)</f>
        <v>0</v>
      </c>
      <c r="T13" s="7">
        <f>IF(gratif="SI",ROUND(IF(tratt="TFS",'Stipendio tabellare e aliquote '!$K$8,'Stipendio tabellare e aliquote '!$R$8)/360*(360-ggritre),2),0)</f>
        <v>0</v>
      </c>
      <c r="U13" s="2"/>
      <c r="V13" s="84">
        <f>ROUND('Stipendio tabellare e aliquote '!$K$8*Mater,2)+$S$17</f>
        <v>0</v>
      </c>
      <c r="W13" s="61">
        <f>ROUND(IF(tratt="TFS",'Stipendio tabellare e aliquote '!$K$8,'Stipendio tabellare e aliquote '!$R$8)*Mater,2)+$T$17</f>
        <v>0</v>
      </c>
      <c r="X13" s="84">
        <f>ROUND('Stipendio tabellare e aliquote '!$K$8*Mater,2)+$S$17</f>
        <v>0</v>
      </c>
      <c r="Y13" s="61">
        <f>ROUND(IF(tratt="TFS",'Stipendio tabellare e aliquote '!$K$8,'Stipendio tabellare e aliquote '!$R$8)*Mater,2)+$T$17</f>
        <v>0</v>
      </c>
      <c r="Z13" s="5"/>
      <c r="AA13" s="96" t="e">
        <f>IF(pt="NO",ROUND(VLOOKUP(Area1,TabStip,11)/30*$R$40,2),ROUND(VLOOKUP(Area1,TabStip,11)/$U$40*$R$40,2))</f>
        <v>#DIV/0!</v>
      </c>
      <c r="AB13" s="96">
        <f>ROUND(VLOOKUP(Area1,TabStip,11),2)</f>
        <v>0</v>
      </c>
      <c r="AC13" s="2"/>
      <c r="AD13" s="2"/>
      <c r="AE13" s="2"/>
      <c r="AF13" s="2"/>
      <c r="AG13" s="2"/>
    </row>
    <row r="14" spans="1:33" ht="12.75">
      <c r="A14" s="89" t="s">
        <v>5</v>
      </c>
      <c r="B14" s="60" t="str">
        <f>+B12</f>
        <v>si</v>
      </c>
      <c r="C14" s="232"/>
      <c r="D14" s="91">
        <f>IF(dal&gt;0,dal," ")</f>
        <v>39083</v>
      </c>
      <c r="E14" s="91">
        <f>IF(al&gt;0,al," ")</f>
        <v>39447</v>
      </c>
      <c r="F14" s="83">
        <f>IF(pt="no",IF(dper="si",V21,V14),IF(dper="si",X21,X14))</f>
        <v>432.74</v>
      </c>
      <c r="G14" s="61">
        <f>IF(tratt="TFS",IF(pt="no",IF(dper="si",V21,V14),IF(dper="si",X21,X14)),IF(pt="no",IF(dper="si",W21,W14),IF(dper="si",Y21,Y14)))</f>
        <v>432.74</v>
      </c>
      <c r="H14" s="61">
        <f>IF(sodisc="SI",0,ROUND(F14*'Stipendio tabellare e aliquote '!$E$28%,5))</f>
        <v>38.29749</v>
      </c>
      <c r="I14" s="61">
        <f>IF(sodisc="SI",0,ROUND($F14*'Stipendio tabellare e aliquote '!$F$28%,5))</f>
        <v>102.99212</v>
      </c>
      <c r="J14" s="61">
        <f t="shared" si="0"/>
        <v>141.28961</v>
      </c>
      <c r="K14" s="61">
        <f>IF(sodisc="SI",0,ROUND($F14*'Stipendio tabellare e aliquote '!$E$29%,5))</f>
        <v>1.51459</v>
      </c>
      <c r="L14" s="274"/>
      <c r="M14" s="61">
        <f t="shared" si="1"/>
        <v>1.51459</v>
      </c>
      <c r="N14" s="61">
        <f>IF(sodisc="SI",0,IF(tratt="TFS",ROUND($F14*80%*'Stipendio tabellare e aliquote '!$E$30%,5),0))</f>
        <v>8.6548</v>
      </c>
      <c r="O14" s="61">
        <f>IF(sodisc="SI",0,IF(tratt="TFS",ROUND($F14*80%*'Stipendio tabellare e aliquote '!$F$30%,5),ROUND($F14*80%*'Stipendio tabellare e aliquote '!$F$31%,5)))</f>
        <v>24.57963</v>
      </c>
      <c r="P14" s="61">
        <f t="shared" si="2"/>
        <v>33.23443</v>
      </c>
      <c r="Q14" s="157"/>
      <c r="R14" s="2"/>
      <c r="S14" s="2"/>
      <c r="T14" s="2"/>
      <c r="U14" s="2"/>
      <c r="V14" s="84">
        <f>ROUND(IF(Area="C3",'Stipendio tabellare e aliquote '!$J$8,IF(Area="C2",'Stipendio tabellare e aliquote '!$J$10,IF(Area="C1S",'Stipendio tabellare e aliquote '!$J$12,IF(Area="C1",'Stipendio tabellare e aliquote '!$J$14,IF(Area="B3S",'Stipendio tabellare e aliquote '!$J$16,IF(Area="B3",'Stipendio tabellare e aliquote '!$J$18,0))))))*Mater,2)</f>
        <v>432.74</v>
      </c>
      <c r="W14" s="61">
        <f>ROUND(IF(tratt="TFS",V14,IF(Area="C3",'Stipendio tabellare e aliquote '!$Q$8,IF(Area="C2",'Stipendio tabellare e aliquote '!$Q$10,IF(Area="C1S",'Stipendio tabellare e aliquote '!$Q$12,IF(Area="C1",'Stipendio tabellare e aliquote '!$Q$14,IF(Area="B3S",'Stipendio tabellare e aliquote '!$Q$16,IF(Area="B3",'Stipendio tabellare e aliquote '!$Q$18,0)))))))*Mater,2)</f>
        <v>432.74</v>
      </c>
      <c r="X14" s="84">
        <f>ROUND(IF(Area="C3",'Stipendio tabellare e aliquote '!$J$8,IF(Area="C2",'Stipendio tabellare e aliquote '!$J$10,IF(Area="C1S",'Stipendio tabellare e aliquote '!$J$12,IF(Area="C1",'Stipendio tabellare e aliquote '!$J$14,IF(Area="B3S",'Stipendio tabellare e aliquote '!$J$16,IF(Area="B3",'Stipendio tabellare e aliquote '!$J$18,0))))))*Mater,2)</f>
        <v>432.74</v>
      </c>
      <c r="Y14" s="61">
        <f>ROUND(IF(tratt="TFS",X14,IF(Area="C3",'Stipendio tabellare e aliquote '!$Q$8,IF(Area="C2",'Stipendio tabellare e aliquote '!$Q$10,IF(Area="C1S",'Stipendio tabellare e aliquote '!$Q$12,IF(Area="C1",'Stipendio tabellare e aliquote '!$Q$14,IF(Area="B3S",'Stipendio tabellare e aliquote '!$Q$16,IF(Area="B3",'Stipendio tabellare e aliquote '!$Q$18,0)))))))*Mater,2)</f>
        <v>432.74</v>
      </c>
      <c r="Z14" s="5"/>
      <c r="AA14" s="96" t="e">
        <f>IF(pt="NO",ROUND(VLOOKUP(Area1,TabStip,10)/30*$R$40,2),ROUND(VLOOKUP(Area1,TabStip,10)/$U$40*$R$40,2))</f>
        <v>#DIV/0!</v>
      </c>
      <c r="AB14" s="96">
        <f>ROUND(VLOOKUP(Area1,TabStip,10),2)</f>
        <v>432.74</v>
      </c>
      <c r="AC14" s="2"/>
      <c r="AD14" s="2"/>
      <c r="AE14" s="2"/>
      <c r="AF14" s="2"/>
      <c r="AG14" s="2"/>
    </row>
    <row r="15" spans="1:33" ht="12.75">
      <c r="A15" s="89" t="s">
        <v>6</v>
      </c>
      <c r="B15" s="60" t="s">
        <v>131</v>
      </c>
      <c r="C15" s="232"/>
      <c r="D15" s="118"/>
      <c r="E15" s="118"/>
      <c r="F15" s="119">
        <f>+G15</f>
        <v>0</v>
      </c>
      <c r="G15" s="120"/>
      <c r="H15" s="61">
        <f>ROUND($F15*'Stipendio tabellare e aliquote '!$E$28%,5)</f>
        <v>0</v>
      </c>
      <c r="I15" s="61">
        <f>ROUND(F15*'Stipendio tabellare e aliquote '!$F$28%,5)</f>
        <v>0</v>
      </c>
      <c r="J15" s="61">
        <f t="shared" si="0"/>
        <v>0</v>
      </c>
      <c r="K15" s="61">
        <f>ROUND($G15*'Stipendio tabellare e aliquote '!$E$29%,5)</f>
        <v>0</v>
      </c>
      <c r="L15" s="274"/>
      <c r="M15" s="61">
        <f t="shared" si="1"/>
        <v>0</v>
      </c>
      <c r="N15" s="61">
        <v>0</v>
      </c>
      <c r="O15" s="61">
        <v>0</v>
      </c>
      <c r="P15" s="61">
        <f t="shared" si="2"/>
        <v>0</v>
      </c>
      <c r="Q15" s="157"/>
      <c r="R15" s="2"/>
      <c r="S15" s="2" t="s">
        <v>151</v>
      </c>
      <c r="T15" s="2"/>
      <c r="U15" s="2">
        <f>IF(G24="SI",30%,1)</f>
        <v>1</v>
      </c>
      <c r="V15" s="2"/>
      <c r="W15" s="2"/>
      <c r="X15" s="2"/>
      <c r="Y15" s="2"/>
      <c r="Z15" s="5"/>
      <c r="AA15" s="102" t="e">
        <f>SUM(AA12:AA14)</f>
        <v>#DIV/0!</v>
      </c>
      <c r="AB15" s="2"/>
      <c r="AC15" s="2"/>
      <c r="AD15" s="2"/>
      <c r="AE15" s="2"/>
      <c r="AF15" s="2"/>
      <c r="AG15" s="2"/>
    </row>
    <row r="16" spans="1:33" ht="12.75">
      <c r="A16" s="89" t="s">
        <v>7</v>
      </c>
      <c r="B16" s="60" t="s">
        <v>131</v>
      </c>
      <c r="C16" s="233"/>
      <c r="D16" s="118"/>
      <c r="E16" s="118"/>
      <c r="F16" s="119">
        <f>+G16</f>
        <v>0</v>
      </c>
      <c r="G16" s="120"/>
      <c r="H16" s="61">
        <f>ROUND($F16*'Stipendio tabellare e aliquote '!$E$28%,5)</f>
        <v>0</v>
      </c>
      <c r="I16" s="61">
        <f>ROUND(F16*'Stipendio tabellare e aliquote '!$F$28%,5)</f>
        <v>0</v>
      </c>
      <c r="J16" s="61">
        <f t="shared" si="0"/>
        <v>0</v>
      </c>
      <c r="K16" s="61">
        <f>ROUND($G16*'Stipendio tabellare e aliquote '!$E$29%,5)</f>
        <v>0</v>
      </c>
      <c r="L16" s="274"/>
      <c r="M16" s="61">
        <f t="shared" si="1"/>
        <v>0</v>
      </c>
      <c r="N16" s="61">
        <v>0</v>
      </c>
      <c r="O16" s="61">
        <v>0</v>
      </c>
      <c r="P16" s="61">
        <f t="shared" si="2"/>
        <v>0</v>
      </c>
      <c r="Q16" s="124"/>
      <c r="R16" s="2"/>
      <c r="S16" s="96">
        <f>IF(gratifma&gt;0,gratifma,ROUND(S12*Mater,2))</f>
        <v>0</v>
      </c>
      <c r="T16" s="96">
        <f>IF(gratifma&gt;0,gratifma,ROUND(T12*Mater,2))</f>
        <v>0</v>
      </c>
      <c r="U16" s="2"/>
      <c r="V16" s="263" t="s">
        <v>138</v>
      </c>
      <c r="W16" s="263" t="s">
        <v>139</v>
      </c>
      <c r="X16" s="263" t="s">
        <v>140</v>
      </c>
      <c r="Y16" s="263" t="s">
        <v>141</v>
      </c>
      <c r="Z16" s="5"/>
      <c r="AA16" s="96" t="e">
        <f>ROUND(AA15*80%,2)</f>
        <v>#DIV/0!</v>
      </c>
      <c r="AB16" s="2"/>
      <c r="AC16" s="2"/>
      <c r="AD16" s="2"/>
      <c r="AE16" s="2"/>
      <c r="AF16" s="2"/>
      <c r="AG16" s="2"/>
    </row>
    <row r="17" spans="1:33" ht="12.75">
      <c r="A17" s="89" t="s">
        <v>97</v>
      </c>
      <c r="B17" s="251" t="s">
        <v>131</v>
      </c>
      <c r="C17" s="251" t="s">
        <v>131</v>
      </c>
      <c r="D17" s="228"/>
      <c r="E17" s="228"/>
      <c r="F17" s="119">
        <f>IF(C17="si",IF(tratt="TFS",G17,IF(G17&gt;0,ROUND(G17/0.98,5),0)),G17)</f>
        <v>0</v>
      </c>
      <c r="G17" s="120"/>
      <c r="H17" s="61">
        <f>ROUND($F17*'Stipendio tabellare e aliquote '!$E$28%,5)</f>
        <v>0</v>
      </c>
      <c r="I17" s="61">
        <f>ROUND(F17*'Stipendio tabellare e aliquote '!$F$28%,5)</f>
        <v>0</v>
      </c>
      <c r="J17" s="61">
        <f t="shared" si="0"/>
        <v>0</v>
      </c>
      <c r="K17" s="61">
        <f>ROUND($F17*'Stipendio tabellare e aliquote '!$E$29%,5)</f>
        <v>0</v>
      </c>
      <c r="L17" s="274"/>
      <c r="M17" s="61">
        <f t="shared" si="1"/>
        <v>0</v>
      </c>
      <c r="N17" s="61">
        <f>IF(B17="SI",IF(tratt="TFS",ROUND($F17*80%*'Stipendio tabellare e aliquote '!$E$30%,5),0),0)</f>
        <v>0</v>
      </c>
      <c r="O17" s="61">
        <f>IF(B17="SI",IF(tratt="TFS",ROUND($F17*80%*'Stipendio tabellare e aliquote '!$F$30%,5),ROUND($F17*80%*'Stipendio tabellare e aliquote '!$F$31%,5)),0)</f>
        <v>0</v>
      </c>
      <c r="P17" s="61">
        <f t="shared" si="2"/>
        <v>0</v>
      </c>
      <c r="Q17" s="271" t="str">
        <f>IF(Q16&gt;0,ROUND(Q16*1%,5)," ")</f>
        <v> </v>
      </c>
      <c r="R17" s="2"/>
      <c r="S17" s="96">
        <f>IF(gratifma&gt;0,gratifma,ROUND(S13*Mater,2))</f>
        <v>0</v>
      </c>
      <c r="T17" s="96">
        <f>IF(gratifma&gt;0,gratifma,ROUND(T13*Mater,2))</f>
        <v>0</v>
      </c>
      <c r="U17" s="2"/>
      <c r="V17" s="263"/>
      <c r="W17" s="263"/>
      <c r="X17" s="263"/>
      <c r="Y17" s="263"/>
      <c r="Z17" s="5"/>
      <c r="AA17" s="2"/>
      <c r="AB17" s="2"/>
      <c r="AC17" s="2"/>
      <c r="AD17" s="2"/>
      <c r="AE17" s="2"/>
      <c r="AF17" s="2"/>
      <c r="AG17" s="2"/>
    </row>
    <row r="18" spans="1:33" ht="12.75">
      <c r="A18" s="89" t="s">
        <v>96</v>
      </c>
      <c r="B18" s="251"/>
      <c r="C18" s="251"/>
      <c r="D18" s="228"/>
      <c r="E18" s="228"/>
      <c r="F18" s="119">
        <f>IF(C17="si",IF(tratt="TFS",G18,IF(G18&gt;0,ROUND(G18/0.98,5),0)),G18)</f>
        <v>0</v>
      </c>
      <c r="G18" s="120"/>
      <c r="H18" s="61">
        <f>ROUND($F18*'Stipendio tabellare e aliquote '!$E$28%,5)</f>
        <v>0</v>
      </c>
      <c r="I18" s="61">
        <f>ROUND(F18*'Stipendio tabellare e aliquote '!$F$28%,5)</f>
        <v>0</v>
      </c>
      <c r="J18" s="61">
        <f t="shared" si="0"/>
        <v>0</v>
      </c>
      <c r="K18" s="61">
        <f>ROUND($F18*'Stipendio tabellare e aliquote '!$E$29%,5)</f>
        <v>0</v>
      </c>
      <c r="L18" s="274"/>
      <c r="M18" s="61">
        <f t="shared" si="1"/>
        <v>0</v>
      </c>
      <c r="N18" s="61">
        <f>IF(B17="SI",IF(tratt="TFS",ROUND($F18*80%*'Stipendio tabellare e aliquote '!$E$30%,5),0),0)</f>
        <v>0</v>
      </c>
      <c r="O18" s="61">
        <f>IF(B17="SI",IF(tratt="TFS",ROUND($F18*80%*'Stipendio tabellare e aliquote '!$F$30%,5),ROUND($F18*80%*'Stipendio tabellare e aliquote '!$F$31%,5)),0)</f>
        <v>0</v>
      </c>
      <c r="P18" s="61">
        <f t="shared" si="2"/>
        <v>0</v>
      </c>
      <c r="Q18" s="272"/>
      <c r="R18" s="2"/>
      <c r="S18" s="2"/>
      <c r="T18" s="2"/>
      <c r="U18" s="2"/>
      <c r="V18" s="264"/>
      <c r="W18" s="264"/>
      <c r="X18" s="264"/>
      <c r="Y18" s="264"/>
      <c r="Z18" s="5"/>
      <c r="AA18" s="2"/>
      <c r="AB18" s="2"/>
      <c r="AC18" s="2"/>
      <c r="AD18" s="2"/>
      <c r="AE18" s="2"/>
      <c r="AF18" s="2"/>
      <c r="AG18" s="2"/>
    </row>
    <row r="19" spans="1:33" ht="12.75">
      <c r="A19" s="89" t="s">
        <v>98</v>
      </c>
      <c r="B19" s="251" t="s">
        <v>131</v>
      </c>
      <c r="C19" s="251" t="s">
        <v>131</v>
      </c>
      <c r="D19" s="228"/>
      <c r="E19" s="228"/>
      <c r="F19" s="119">
        <f>IF(C19="si",IF(tratt="TFS",G19,IF(G19&gt;0,ROUND(G19/0.98,5),0)),G19)</f>
        <v>0</v>
      </c>
      <c r="G19" s="120"/>
      <c r="H19" s="61">
        <f>ROUND($F19*'Stipendio tabellare e aliquote '!$E$28%,5)</f>
        <v>0</v>
      </c>
      <c r="I19" s="61">
        <f>ROUND(F19*'Stipendio tabellare e aliquote '!$F$28%,5)</f>
        <v>0</v>
      </c>
      <c r="J19" s="61">
        <f t="shared" si="0"/>
        <v>0</v>
      </c>
      <c r="K19" s="61">
        <f>ROUND($F19*'Stipendio tabellare e aliquote '!$E$29%,5)</f>
        <v>0</v>
      </c>
      <c r="L19" s="274"/>
      <c r="M19" s="61">
        <f t="shared" si="1"/>
        <v>0</v>
      </c>
      <c r="N19" s="61">
        <f>IF(B19="SI",IF(tratt="TFS",ROUND($F19*80%*'Stipendio tabellare e aliquote '!$E$30%,5),0),0)</f>
        <v>0</v>
      </c>
      <c r="O19" s="61">
        <f>IF(B19="SI",IF(tratt="TFS",ROUND($F19*80%*'Stipendio tabellare e aliquote '!$F$30%,5),ROUND($F19*80%*'Stipendio tabellare e aliquote '!$F$31%,5)),0)</f>
        <v>0</v>
      </c>
      <c r="P19" s="61">
        <f t="shared" si="2"/>
        <v>0</v>
      </c>
      <c r="Q19" s="124"/>
      <c r="R19" s="2"/>
      <c r="S19" s="2"/>
      <c r="T19" s="2"/>
      <c r="U19" s="2"/>
      <c r="V19" s="83" t="e">
        <f>ROUND((IF(Area="C3",'Stipendio tabellare e aliquote '!$H$8,IF(Area="C2",'Stipendio tabellare e aliquote '!$H$10,IF(Area="C1S",'Stipendio tabellare e aliquote '!$H$12,IF(Area="C1",'Stipendio tabellare e aliquote '!$H$14,IF(Area="B3S",'Stipendio tabellare e aliquote '!$H$16,IF(Area="B3",'Stipendio tabellare e aliquote '!$H$18,0)))))))/30*Q40*Mater,2)+$S$12</f>
        <v>#VALUE!</v>
      </c>
      <c r="W19" s="62" t="e">
        <f>ROUND((IF(tratt="TFS",IF(Area="C3",'Stipendio tabellare e aliquote '!$H$8,IF(Area="C2",'Stipendio tabellare e aliquote '!$H$10,IF(Area="C1S",'Stipendio tabellare e aliquote '!$H$12,IF(Area="C1",'Stipendio tabellare e aliquote '!$H$14,IF(Area="B3S",'Stipendio tabellare e aliquote '!$H$16,IF(Area="B3",'Stipendio tabellare e aliquote '!$H$18,0)))))),IF(Area="C3",'Stipendio tabellare e aliquote '!$O$8,IF(Area="C2",'Stipendio tabellare e aliquote '!$O$10,IF(Area="C1S",'Stipendio tabellare e aliquote '!$O$12,IF(Area="C1",'Stipendio tabellare e aliquote '!$O$14,IF(Area="B3S",'Stipendio tabellare e aliquote '!$O$16,IF(Area="B3",'Stipendio tabellare e aliquote '!$O$18,0))))))))/30*Q40*Mater,2)+$T$12</f>
        <v>#VALUE!</v>
      </c>
      <c r="X19" s="83" t="e">
        <f>ROUND((IF(Area="C3",'Stipendio tabellare e aliquote '!$H$8,IF(Area="C2",'Stipendio tabellare e aliquote '!$H$10,IF(Area="C1S",'Stipendio tabellare e aliquote '!$H$12,IF(Area="C1",'Stipendio tabellare e aliquote '!$H$14,IF(Area="B3S",'Stipendio tabellare e aliquote '!$H$16,IF(Area="B3",'Stipendio tabellare e aliquote '!$H$18,0)))))))/gmpt*V40*Mater,2)+$S$12</f>
        <v>#DIV/0!</v>
      </c>
      <c r="Y19" s="62">
        <f>IF(pt="si",Y25,0)</f>
        <v>0</v>
      </c>
      <c r="Z19" s="5"/>
      <c r="AA19" s="96" t="e">
        <f>IF(pt="NO",ROUND(VLOOKUP(Area1,TabStip,8)/30*$R$40,2),ROUND(VLOOKUP(Area1,TabStip,8)/$U$40*$R$40,2))</f>
        <v>#DIV/0!</v>
      </c>
      <c r="AB19" s="2"/>
      <c r="AC19" s="2"/>
      <c r="AD19" s="2"/>
      <c r="AE19" s="2"/>
      <c r="AF19" s="2"/>
      <c r="AG19" s="2"/>
    </row>
    <row r="20" spans="1:33" ht="12.75">
      <c r="A20" s="90" t="s">
        <v>99</v>
      </c>
      <c r="B20" s="252"/>
      <c r="C20" s="252"/>
      <c r="D20" s="229"/>
      <c r="E20" s="229"/>
      <c r="F20" s="119">
        <f>IF(C19="si",IF(tratt="TFS",G20,IF(G20&gt;0,ROUND(G20/0.98,5),0)),G20)</f>
        <v>0</v>
      </c>
      <c r="G20" s="121"/>
      <c r="H20" s="63">
        <f>ROUND($F20*'Stipendio tabellare e aliquote '!$E$28%,5)</f>
        <v>0</v>
      </c>
      <c r="I20" s="63">
        <f>ROUND(F20*'Stipendio tabellare e aliquote '!$F$28%,5)</f>
        <v>0</v>
      </c>
      <c r="J20" s="63">
        <f t="shared" si="0"/>
        <v>0</v>
      </c>
      <c r="K20" s="63">
        <f>ROUND($F20*'Stipendio tabellare e aliquote '!$E$29%,5)</f>
        <v>0</v>
      </c>
      <c r="L20" s="275"/>
      <c r="M20" s="63">
        <f t="shared" si="1"/>
        <v>0</v>
      </c>
      <c r="N20" s="63">
        <f>IF(B19="SI",IF(tratt="TFS",ROUND($F20*80%*'Stipendio tabellare e aliquote '!$E$30%,5),0),0)</f>
        <v>0</v>
      </c>
      <c r="O20" s="63">
        <f>IF(B19="SI",IF(tratt="TFS",ROUND($F20*80%*'Stipendio tabellare e aliquote '!$F$30%,5),ROUND($F20*80%*'Stipendio tabellare e aliquote '!$F$31%,5)),0)</f>
        <v>0</v>
      </c>
      <c r="P20" s="63">
        <f t="shared" si="2"/>
        <v>0</v>
      </c>
      <c r="Q20" s="64" t="str">
        <f>IF(Q19&gt;0,ROUND(Q19*1%,5)," ")</f>
        <v> </v>
      </c>
      <c r="R20" s="2"/>
      <c r="S20" s="2"/>
      <c r="T20" s="2"/>
      <c r="U20" s="2"/>
      <c r="V20" s="84" t="e">
        <f>ROUND((+'Stipendio tabellare e aliquote '!$K$8)/30*Q40*Mater,2)+$S$13</f>
        <v>#VALUE!</v>
      </c>
      <c r="W20" s="61" t="e">
        <f>ROUND((IF(tratt="TFS",'Stipendio tabellare e aliquote '!$K$8,'Stipendio tabellare e aliquote '!$R$8))/30*Q40*Mater,2)+$T$13</f>
        <v>#VALUE!</v>
      </c>
      <c r="X20" s="84" t="e">
        <f>ROUND((+'Stipendio tabellare e aliquote '!$K$8)/gmpt*V40*Mater,2)+$S$13</f>
        <v>#DIV/0!</v>
      </c>
      <c r="Y20" s="61" t="e">
        <f>ROUND((IF(tratt="TFS",'Stipendio tabellare e aliquote '!$K$8,'Stipendio tabellare e aliquote '!$R$8))/gmpt*V40*Mater,2)+$T$13</f>
        <v>#DIV/0!</v>
      </c>
      <c r="Z20" s="5"/>
      <c r="AA20" s="96" t="e">
        <f>IF(pt="NO",ROUND(VLOOKUP(Area1,TabStip,11)/30*$R$40,2),ROUND(VLOOKUP(Area1,TabStip,11)/$U$40*$R$40,2))</f>
        <v>#DIV/0!</v>
      </c>
      <c r="AB20" s="2"/>
      <c r="AC20" s="2"/>
      <c r="AD20" s="2"/>
      <c r="AE20" s="2"/>
      <c r="AF20" s="2"/>
      <c r="AG20" s="2"/>
    </row>
    <row r="21" spans="1:33" ht="12.75" hidden="1">
      <c r="A21" s="8" t="s">
        <v>71</v>
      </c>
      <c r="B21" s="8"/>
      <c r="C21" s="8"/>
      <c r="D21" s="2" t="s">
        <v>72</v>
      </c>
      <c r="E21" s="2"/>
      <c r="F21" s="9">
        <f>+F12+F13+F14</f>
        <v>2020.13</v>
      </c>
      <c r="G21" s="9">
        <f>+G12+G13+G14</f>
        <v>2020.13</v>
      </c>
      <c r="H21" s="9">
        <f>+H12+H13+H14</f>
        <v>178.78151</v>
      </c>
      <c r="I21" s="9">
        <f>SUM(I12:I20)</f>
        <v>480.79094</v>
      </c>
      <c r="J21" s="9">
        <f>SUM(J12:J20)</f>
        <v>659.57245</v>
      </c>
      <c r="K21" s="9">
        <f>+K12+K13+K14</f>
        <v>7.07046</v>
      </c>
      <c r="L21" s="2"/>
      <c r="M21" s="9">
        <f>SUM(M12:M20)</f>
        <v>7.07046</v>
      </c>
      <c r="N21" s="9">
        <f>SUM(N12:N20)</f>
        <v>40.4026</v>
      </c>
      <c r="O21" s="9">
        <f>SUM(O12:O20)</f>
        <v>114.74338</v>
      </c>
      <c r="P21" s="9">
        <f>SUM(P12:P20)</f>
        <v>155.14598</v>
      </c>
      <c r="Q21" s="2"/>
      <c r="R21" s="2"/>
      <c r="S21" s="2"/>
      <c r="T21" s="2"/>
      <c r="U21" s="2"/>
      <c r="V21" s="84" t="e">
        <f>ROUND((IF(Area="C3",'Stipendio tabellare e aliquote '!$J$8,IF(Area="C2",'Stipendio tabellare e aliquote '!$J$10,IF(Area="C1S",'Stipendio tabellare e aliquote '!$J$12,IF(Area="C1",'Stipendio tabellare e aliquote '!$J$14,IF(Area="B3S",'Stipendio tabellare e aliquote '!$J$16,IF(Area="B3",'Stipendio tabellare e aliquote '!$J$18,0)))))))/30*Q40*Mater,2)</f>
        <v>#VALUE!</v>
      </c>
      <c r="W21" s="61" t="e">
        <f>IF(tratt="TFS",V21,ROUND(IF(Area="C3",'Stipendio tabellare e aliquote '!$Q$8,IF(Area="C2",'Stipendio tabellare e aliquote '!$Q$10,IF(Area="C1S",'Stipendio tabellare e aliquote '!$Q$12,IF(Area="C1",'Stipendio tabellare e aliquote '!$Q$14,IF(Area="B3S",'Stipendio tabellare e aliquote '!$Q$16,IF(Area="B3",'Stipendio tabellare e aliquote '!$Q$18,0))))))/30*Q40*Mater,2))</f>
        <v>#VALUE!</v>
      </c>
      <c r="X21" s="84" t="e">
        <f>ROUND((IF(Area="C3",'Stipendio tabellare e aliquote '!$J$8,IF(Area="C2",'Stipendio tabellare e aliquote '!$J$10,IF(Area="C1S",'Stipendio tabellare e aliquote '!$J$12,IF(Area="C1",'Stipendio tabellare e aliquote '!$J$14,IF(Area="B3S",'Stipendio tabellare e aliquote '!$J$16,IF(Area="B3",'Stipendio tabellare e aliquote '!$J$18,0)))))))/gmpt*V40*Mater,2)</f>
        <v>#DIV/0!</v>
      </c>
      <c r="Y21" s="61" t="e">
        <f>IF(tratt="TFS",X21,ROUND(VLOOKUP(Area1,TabStip,17)/$U$40*$V$40*Mater,2))</f>
        <v>#DIV/0!</v>
      </c>
      <c r="Z21" s="5"/>
      <c r="AA21" s="96" t="e">
        <f>IF(pt="NO",ROUND(VLOOKUP(Area1,TabStip,10)/30*$R$40,2),X21)</f>
        <v>#DIV/0!</v>
      </c>
      <c r="AB21" s="2"/>
      <c r="AC21" s="2"/>
      <c r="AD21" s="2"/>
      <c r="AE21" s="2"/>
      <c r="AF21" s="2"/>
      <c r="AG21" s="2"/>
    </row>
    <row r="22" spans="1:33" ht="12.75">
      <c r="A22" s="206" t="s">
        <v>146</v>
      </c>
      <c r="B22" s="206"/>
      <c r="C22" s="206"/>
      <c r="D22" s="206"/>
      <c r="E22" s="206"/>
      <c r="F22" s="206"/>
      <c r="G22" s="206"/>
      <c r="H22" s="206"/>
      <c r="I22" s="123"/>
      <c r="J22" s="276" t="str">
        <f>IF(dper="SI","Attenzione: bisogna compilare un prospetto per ogni periodo di riferimento"," ")</f>
        <v> </v>
      </c>
      <c r="K22" s="276"/>
      <c r="L22" s="276"/>
      <c r="M22" s="276"/>
      <c r="N22" s="276"/>
      <c r="O22" s="276"/>
      <c r="P22" s="276"/>
      <c r="Q22" s="276"/>
      <c r="R22" s="2">
        <f>IF(dper="si",1,0)</f>
        <v>0</v>
      </c>
      <c r="S22" s="2"/>
      <c r="T22" s="2"/>
      <c r="U22" s="2"/>
      <c r="Z22" s="5"/>
      <c r="AA22" s="2"/>
      <c r="AB22" s="2"/>
      <c r="AC22" s="2"/>
      <c r="AD22" s="2"/>
      <c r="AE22" s="2"/>
      <c r="AF22" s="2"/>
      <c r="AG22" s="2"/>
    </row>
    <row r="23" spans="1:33" ht="12.75">
      <c r="A23" s="95" t="s">
        <v>147</v>
      </c>
      <c r="B23" s="253"/>
      <c r="C23" s="253"/>
      <c r="D23" s="217" t="str">
        <f>IF(sodisc="si","Assegno alimentare pari al "," ")</f>
        <v> </v>
      </c>
      <c r="E23" s="217"/>
      <c r="F23" s="217"/>
      <c r="G23" s="217"/>
      <c r="H23" s="97"/>
      <c r="I23" s="257" t="str">
        <f>IF(sodisc="si","% dello stipendio"," ")</f>
        <v> </v>
      </c>
      <c r="J23" s="257"/>
      <c r="K23" s="93"/>
      <c r="L23" s="93"/>
      <c r="M23" s="93"/>
      <c r="N23" s="93"/>
      <c r="O23" s="93"/>
      <c r="P23" s="93"/>
      <c r="Q23" s="93"/>
      <c r="R23" s="2"/>
      <c r="S23" s="2"/>
      <c r="T23" s="2"/>
      <c r="U23" s="2"/>
      <c r="Z23" s="5"/>
      <c r="AA23" s="2"/>
      <c r="AB23" s="2"/>
      <c r="AC23" s="2"/>
      <c r="AD23" s="2"/>
      <c r="AE23" s="2"/>
      <c r="AF23" s="2"/>
      <c r="AG23" s="2"/>
    </row>
    <row r="24" spans="1:33" ht="12.75">
      <c r="A24" s="218" t="s">
        <v>155</v>
      </c>
      <c r="B24" s="218"/>
      <c r="C24" s="218"/>
      <c r="D24" s="218"/>
      <c r="E24" s="218"/>
      <c r="F24" s="218"/>
      <c r="G24" s="122"/>
      <c r="H24" s="270" t="str">
        <f>IF(G24="SI","Attenzione: vedi nota (*) nel foglio &gt;Note Compilazione&lt; "," ")</f>
        <v> </v>
      </c>
      <c r="I24" s="270"/>
      <c r="J24" s="270"/>
      <c r="K24" s="270"/>
      <c r="L24" s="270"/>
      <c r="M24" s="270"/>
      <c r="N24" s="98"/>
      <c r="O24" s="98"/>
      <c r="P24" s="98" t="str">
        <f>IF(gratif="SI","Inserimento manuale"," ")</f>
        <v> </v>
      </c>
      <c r="Q24" s="98"/>
      <c r="R24" s="2"/>
      <c r="S24" s="2"/>
      <c r="T24" s="2"/>
      <c r="U24" s="2"/>
      <c r="Z24" s="5"/>
      <c r="AA24" s="2"/>
      <c r="AB24" s="2"/>
      <c r="AC24" s="2"/>
      <c r="AD24" s="2"/>
      <c r="AE24" s="2"/>
      <c r="AF24" s="2"/>
      <c r="AG24" s="2"/>
    </row>
    <row r="25" spans="1:33" ht="12.75">
      <c r="A25" s="219" t="s">
        <v>145</v>
      </c>
      <c r="B25" s="219"/>
      <c r="C25" s="219"/>
      <c r="D25" s="219"/>
      <c r="E25" s="219"/>
      <c r="F25" s="219"/>
      <c r="G25" s="219"/>
      <c r="H25" s="219"/>
      <c r="I25" s="219"/>
      <c r="J25" s="123"/>
      <c r="K25" s="266" t="str">
        <f>IF(gratif&gt;0,"Eventuali gg. riduzione Gratifica Annuale"," ")</f>
        <v> </v>
      </c>
      <c r="L25" s="266"/>
      <c r="M25" s="266"/>
      <c r="N25" s="266"/>
      <c r="O25" s="99"/>
      <c r="P25" s="98" t="str">
        <f>IF(gratif="SI","gratifica"," ")</f>
        <v> </v>
      </c>
      <c r="Q25" s="100"/>
      <c r="R25" s="2"/>
      <c r="S25" s="2"/>
      <c r="T25" s="2"/>
      <c r="U25" s="2"/>
      <c r="V25" s="2"/>
      <c r="W25" s="2"/>
      <c r="X25" s="2"/>
      <c r="Y25" s="62" t="e">
        <f>ROUND(IF(tratt="TFS",IF(Area="C3",'Stipendio tabellare e aliquote '!$H$8,IF(Area="C2",'Stipendio tabellare e aliquote '!$H$10,IF(Area="C1S",'Stipendio tabellare e aliquote '!$H$12,IF(Area="C1",'Stipendio tabellare e aliquote '!$H$14,IF(Area="B3S",'Stipendio tabellare e aliquote '!$H$16,IF(Area="B3",'Stipendio tabellare e aliquote '!$H$18,0)))))),IF(Area="C3",'Stipendio tabellare e aliquote '!$O$8,IF(Area="C2",'Stipendio tabellare e aliquote '!$O$10,IF(Area="C1S",'Stipendio tabellare e aliquote '!$O$12,IF(Area="C1",'Stipendio tabellare e aliquote '!$O$14,IF(Area="B3S",'Stipendio tabellare e aliquote '!$O$16,IF(Area="B3",'Stipendio tabellare e aliquote '!$O$18,0)))))))/gmpt*$V$40*Mater,2)+$T$16</f>
        <v>#DIV/0!</v>
      </c>
      <c r="Z25" s="5"/>
      <c r="AA25" s="2"/>
      <c r="AB25" s="2"/>
      <c r="AC25" s="2"/>
      <c r="AD25" s="2"/>
      <c r="AE25" s="2"/>
      <c r="AF25" s="2"/>
      <c r="AG25" s="2"/>
    </row>
    <row r="26" spans="1:33" ht="12.75">
      <c r="A26" s="216" t="s">
        <v>157</v>
      </c>
      <c r="B26" s="216"/>
      <c r="C26" s="216"/>
      <c r="D26" s="216"/>
      <c r="E26" s="216"/>
      <c r="F26" s="216"/>
      <c r="G26" s="216"/>
      <c r="H26" s="216"/>
      <c r="I26" s="126"/>
      <c r="J26" s="127"/>
      <c r="K26" s="103"/>
      <c r="L26" s="103"/>
      <c r="M26" s="103"/>
      <c r="N26" s="103"/>
      <c r="O26" s="128"/>
      <c r="P26" s="129"/>
      <c r="Q26" s="130"/>
      <c r="R26" s="10"/>
      <c r="S26" s="10"/>
      <c r="T26" s="10"/>
      <c r="U26" s="10"/>
      <c r="V26" s="10"/>
      <c r="W26" s="10"/>
      <c r="X26" s="10"/>
      <c r="Y26" s="131"/>
      <c r="Z26" s="10"/>
      <c r="AA26" s="2"/>
      <c r="AB26" s="2"/>
      <c r="AC26" s="2"/>
      <c r="AD26" s="2"/>
      <c r="AE26" s="2"/>
      <c r="AF26" s="2"/>
      <c r="AG26" s="2"/>
    </row>
    <row r="27" spans="1:33" ht="12.75">
      <c r="A27" s="177" t="s">
        <v>158</v>
      </c>
      <c r="B27" s="177"/>
      <c r="C27" s="177"/>
      <c r="D27" s="177"/>
      <c r="E27" s="177"/>
      <c r="F27" s="138"/>
      <c r="G27" s="220"/>
      <c r="H27" s="220"/>
      <c r="I27" s="137"/>
      <c r="J27" s="132"/>
      <c r="K27" s="133"/>
      <c r="L27" s="133"/>
      <c r="M27" s="133"/>
      <c r="N27" s="133"/>
      <c r="O27" s="134"/>
      <c r="P27" s="135"/>
      <c r="Q27" s="136"/>
      <c r="R27" s="2"/>
      <c r="S27" s="2"/>
      <c r="T27" s="2"/>
      <c r="U27" s="2"/>
      <c r="V27" s="2"/>
      <c r="W27" s="2"/>
      <c r="X27" s="2"/>
      <c r="Y27" s="104"/>
      <c r="Z27" s="5"/>
      <c r="AA27" s="2"/>
      <c r="AB27" s="2"/>
      <c r="AC27" s="2"/>
      <c r="AD27" s="2"/>
      <c r="AE27" s="2"/>
      <c r="AF27" s="2"/>
      <c r="AG27" s="2"/>
    </row>
    <row r="28" spans="1:33" ht="12.75">
      <c r="A28" s="177" t="s">
        <v>179</v>
      </c>
      <c r="B28" s="177"/>
      <c r="C28" s="177"/>
      <c r="D28" s="177"/>
      <c r="E28" s="177"/>
      <c r="F28" s="139"/>
      <c r="G28" s="180" t="str">
        <f>IF(dal&gt;0,CONCATENATE('Stipendio tabellare e aliquote '!C35,'Stipendio tabellare e aliquote '!D35,'Stipendio tabellare e aliquote '!E35,'Stipendio tabellare e aliquote '!F35,'Stipendio tabellare e aliquote '!G35),Vuota1)</f>
        <v>P431070112</v>
      </c>
      <c r="H28" s="180"/>
      <c r="I28" s="140" t="s">
        <v>182</v>
      </c>
      <c r="J28" s="141"/>
      <c r="K28" s="180" t="str">
        <f>IF(H53=11,CONCATENATE('Stipendio tabellare e aliquote '!D39,'Stipendio tabellare e aliquote '!E39,'Stipendio tabellare e aliquote '!F39,'Stipendio tabellare e aliquote '!G39,'Stipendio tabellare e aliquote '!H39),Vuota1)</f>
        <v> </v>
      </c>
      <c r="L28" s="180"/>
      <c r="M28" s="184" t="s">
        <v>185</v>
      </c>
      <c r="N28" s="185"/>
      <c r="O28" s="186"/>
      <c r="P28" s="180" t="str">
        <f>IF(H53=12,CONCATENATE('Stipendio tabellare e aliquote '!O39,'Stipendio tabellare e aliquote '!P39,'Stipendio tabellare e aliquote '!Q39,'Stipendio tabellare e aliquote '!R39,'Stipendio tabellare e aliquote '!S39),Vuota1)</f>
        <v> </v>
      </c>
      <c r="Q28" s="180"/>
      <c r="R28" s="2"/>
      <c r="S28" s="2"/>
      <c r="T28" s="2"/>
      <c r="U28" s="2"/>
      <c r="V28" s="2"/>
      <c r="W28" s="2"/>
      <c r="X28" s="2"/>
      <c r="Y28" s="104"/>
      <c r="Z28" s="5"/>
      <c r="AA28" s="2"/>
      <c r="AB28" s="2"/>
      <c r="AC28" s="2"/>
      <c r="AD28" s="2"/>
      <c r="AE28" s="2"/>
      <c r="AF28" s="2"/>
      <c r="AG28" s="2"/>
    </row>
    <row r="29" spans="1:33" ht="12.75">
      <c r="A29" s="177" t="s">
        <v>180</v>
      </c>
      <c r="B29" s="177"/>
      <c r="C29" s="177"/>
      <c r="D29" s="177"/>
      <c r="E29" s="177"/>
      <c r="F29" s="139"/>
      <c r="G29" s="180" t="str">
        <f>IF(dal&gt;0,CONCATENATE('Stipendio tabellare e aliquote '!C36,'Stipendio tabellare e aliquote '!D36,'Stipendio tabellare e aliquote '!E36,'Stipendio tabellare e aliquote '!F36,'Stipendio tabellare e aliquote '!G36),Vuota1)</f>
        <v>P731070112</v>
      </c>
      <c r="H29" s="180"/>
      <c r="I29" s="140" t="s">
        <v>183</v>
      </c>
      <c r="J29" s="141"/>
      <c r="K29" s="180" t="str">
        <f>IF(H57=13,CONCATENATE('Stipendio tabellare e aliquote '!D40,'Stipendio tabellare e aliquote '!E40,'Stipendio tabellare e aliquote '!F40,'Stipendio tabellare e aliquote '!G40,'Stipendio tabellare e aliquote '!H40),Vuota1)</f>
        <v> </v>
      </c>
      <c r="L29" s="180"/>
      <c r="M29" s="184" t="s">
        <v>184</v>
      </c>
      <c r="N29" s="185"/>
      <c r="O29" s="186"/>
      <c r="P29" s="180" t="str">
        <f>IF(H57=28,CONCATENATE('Stipendio tabellare e aliquote '!D41,'Stipendio tabellare e aliquote '!E41,'Stipendio tabellare e aliquote '!F41,'Stipendio tabellare e aliquote '!G41,'Stipendio tabellare e aliquote '!H41),Vuota1)</f>
        <v> </v>
      </c>
      <c r="Q29" s="180"/>
      <c r="R29" s="2"/>
      <c r="S29" s="2"/>
      <c r="T29" s="2"/>
      <c r="U29" s="2"/>
      <c r="V29" s="2"/>
      <c r="W29" s="2"/>
      <c r="X29" s="2"/>
      <c r="Y29" s="104"/>
      <c r="Z29" s="5"/>
      <c r="AA29" s="2"/>
      <c r="AB29" s="2"/>
      <c r="AC29" s="2"/>
      <c r="AD29" s="2"/>
      <c r="AE29" s="2"/>
      <c r="AF29" s="2"/>
      <c r="AG29" s="2"/>
    </row>
    <row r="30" spans="1:33" ht="12.75">
      <c r="A30" s="177" t="s">
        <v>181</v>
      </c>
      <c r="B30" s="177"/>
      <c r="C30" s="177"/>
      <c r="D30" s="177"/>
      <c r="E30" s="177"/>
      <c r="F30" s="139"/>
      <c r="G30" s="180" t="str">
        <f>IF(dal&gt;0,CONCATENATE('Stipendio tabellare e aliquote '!C37,'Stipendio tabellare e aliquote '!D37,'Stipendio tabellare e aliquote '!E37,'Stipendio tabellare e aliquote '!F37,'Stipendio tabellare e aliquote '!G37),Vuota1)</f>
        <v>P931070112</v>
      </c>
      <c r="H30" s="180"/>
      <c r="I30" s="148"/>
      <c r="J30" s="148"/>
      <c r="K30" s="188"/>
      <c r="L30" s="188"/>
      <c r="M30" s="185"/>
      <c r="N30" s="185"/>
      <c r="O30" s="185"/>
      <c r="P30" s="187"/>
      <c r="Q30" s="187"/>
      <c r="R30" s="2"/>
      <c r="S30" s="2"/>
      <c r="T30" s="2"/>
      <c r="U30" s="2"/>
      <c r="V30" s="2"/>
      <c r="W30" s="2"/>
      <c r="X30" s="2"/>
      <c r="Y30" s="104"/>
      <c r="Z30" s="5"/>
      <c r="AA30" s="2"/>
      <c r="AB30" s="2"/>
      <c r="AC30" s="2"/>
      <c r="AD30" s="2"/>
      <c r="AE30" s="2"/>
      <c r="AF30" s="2"/>
      <c r="AG30" s="2"/>
    </row>
    <row r="31" spans="1:33" ht="12.75">
      <c r="A31" s="143"/>
      <c r="B31" s="143"/>
      <c r="C31" s="143"/>
      <c r="D31" s="143"/>
      <c r="E31" s="143"/>
      <c r="F31" s="143"/>
      <c r="G31" s="143"/>
      <c r="H31" s="143"/>
      <c r="I31" s="150"/>
      <c r="J31" s="169" t="s">
        <v>190</v>
      </c>
      <c r="K31" s="170"/>
      <c r="L31" s="171"/>
      <c r="M31" s="177" t="s">
        <v>186</v>
      </c>
      <c r="N31" s="177"/>
      <c r="O31" s="177"/>
      <c r="P31" s="180" t="str">
        <f>IF(L33="SI",CONCATENATE('Stipendio tabellare e aliquote '!D43,'Stipendio tabellare e aliquote '!E43,'Stipendio tabellare e aliquote '!F43,'Stipendio tabellare e aliquote '!G43,'Stipendio tabellare e aliquote '!H43),Vuota1)</f>
        <v> </v>
      </c>
      <c r="Q31" s="180"/>
      <c r="R31" s="2"/>
      <c r="S31" s="2"/>
      <c r="T31" s="2"/>
      <c r="U31" s="2"/>
      <c r="V31" s="2"/>
      <c r="W31" s="2"/>
      <c r="X31" s="2"/>
      <c r="Y31" s="104"/>
      <c r="Z31" s="5"/>
      <c r="AA31" s="2"/>
      <c r="AB31" s="2"/>
      <c r="AC31" s="2"/>
      <c r="AD31" s="2"/>
      <c r="AE31" s="2"/>
      <c r="AF31" s="2"/>
      <c r="AG31" s="2"/>
    </row>
    <row r="32" spans="1:33" ht="12.75">
      <c r="A32" s="143"/>
      <c r="B32" s="143"/>
      <c r="C32" s="143"/>
      <c r="D32" s="143"/>
      <c r="E32" s="143"/>
      <c r="F32" s="143"/>
      <c r="G32" s="143"/>
      <c r="H32" s="143"/>
      <c r="I32" s="142"/>
      <c r="J32" s="172" t="s">
        <v>191</v>
      </c>
      <c r="K32" s="173"/>
      <c r="L32" s="174"/>
      <c r="M32" s="177" t="s">
        <v>193</v>
      </c>
      <c r="N32" s="177"/>
      <c r="O32" s="177"/>
      <c r="P32" s="180" t="str">
        <f>IF(L33="SI",CONCATENATE('Stipendio tabellare e aliquote '!D44,'Stipendio tabellare e aliquote '!E44,'Stipendio tabellare e aliquote '!F44,'Stipendio tabellare e aliquote '!G44,'Stipendio tabellare e aliquote '!H44),Vuota1)</f>
        <v> </v>
      </c>
      <c r="Q32" s="180"/>
      <c r="R32" s="2"/>
      <c r="S32" s="2"/>
      <c r="T32" s="2"/>
      <c r="U32" s="2"/>
      <c r="V32" s="2"/>
      <c r="W32" s="2"/>
      <c r="X32" s="2"/>
      <c r="Y32" s="104"/>
      <c r="Z32" s="5"/>
      <c r="AA32" s="2"/>
      <c r="AB32" s="2"/>
      <c r="AC32" s="2"/>
      <c r="AD32" s="2"/>
      <c r="AE32" s="2"/>
      <c r="AF32" s="2"/>
      <c r="AG32" s="2"/>
    </row>
    <row r="33" spans="1:33" ht="12.75">
      <c r="A33" s="143"/>
      <c r="B33" s="143"/>
      <c r="C33" s="143"/>
      <c r="D33" s="143"/>
      <c r="E33" s="143"/>
      <c r="F33" s="143"/>
      <c r="G33" s="143"/>
      <c r="H33" s="143"/>
      <c r="I33" s="149"/>
      <c r="J33" s="175" t="s">
        <v>192</v>
      </c>
      <c r="K33" s="176"/>
      <c r="L33" s="151"/>
      <c r="M33" s="177" t="s">
        <v>194</v>
      </c>
      <c r="N33" s="177"/>
      <c r="O33" s="177"/>
      <c r="P33" s="180" t="str">
        <f>IF(L33="SI",CONCATENATE('Stipendio tabellare e aliquote '!O43,'Stipendio tabellare e aliquote '!P43,'Stipendio tabellare e aliquote '!Q43,'Stipendio tabellare e aliquote '!R43,'Stipendio tabellare e aliquote '!S43),Vuota1)</f>
        <v> </v>
      </c>
      <c r="Q33" s="180"/>
      <c r="R33" s="2"/>
      <c r="S33" s="2"/>
      <c r="T33" s="2"/>
      <c r="U33" s="2"/>
      <c r="V33" s="2"/>
      <c r="W33" s="2"/>
      <c r="X33" s="2"/>
      <c r="Y33" s="104"/>
      <c r="Z33" s="5"/>
      <c r="AA33" s="2"/>
      <c r="AB33" s="2"/>
      <c r="AC33" s="2"/>
      <c r="AD33" s="2"/>
      <c r="AE33" s="2"/>
      <c r="AF33" s="2"/>
      <c r="AG33" s="2"/>
    </row>
    <row r="34" spans="1:33" ht="12.75">
      <c r="A34" s="216" t="s">
        <v>35</v>
      </c>
      <c r="B34" s="216"/>
      <c r="C34" s="216"/>
      <c r="D34" s="216"/>
      <c r="E34" s="216"/>
      <c r="F34" s="216"/>
      <c r="G34" s="216"/>
      <c r="H34" s="216"/>
      <c r="I34" s="10"/>
      <c r="J34" s="10"/>
      <c r="K34" s="10"/>
      <c r="L34" s="10"/>
      <c r="M34" s="10"/>
      <c r="N34" s="10"/>
      <c r="O34" s="10"/>
      <c r="P34" s="10"/>
      <c r="Q34" s="10"/>
      <c r="R34" s="2"/>
      <c r="S34" s="2"/>
      <c r="T34" s="2"/>
      <c r="U34" s="2"/>
      <c r="V34" s="2"/>
      <c r="W34" s="2"/>
      <c r="X34" s="2"/>
      <c r="Y34" s="2"/>
      <c r="Z34" s="5"/>
      <c r="AA34" s="2"/>
      <c r="AB34" s="2"/>
      <c r="AC34" s="2"/>
      <c r="AD34" s="2"/>
      <c r="AE34" s="2"/>
      <c r="AF34" s="2"/>
      <c r="AG34" s="2"/>
    </row>
    <row r="35" spans="1:33" ht="12.75">
      <c r="A35" s="207" t="s">
        <v>36</v>
      </c>
      <c r="B35" s="208"/>
      <c r="C35" s="209"/>
      <c r="D35" s="65" t="s">
        <v>37</v>
      </c>
      <c r="E35" s="66"/>
      <c r="F35" s="66"/>
      <c r="G35" s="66"/>
      <c r="H35" s="67"/>
      <c r="I35" s="244">
        <v>80184430587</v>
      </c>
      <c r="J35" s="245"/>
      <c r="K35" s="267" t="s">
        <v>38</v>
      </c>
      <c r="L35" s="268"/>
      <c r="M35" s="46">
        <v>15</v>
      </c>
      <c r="N35" s="226" t="s">
        <v>39</v>
      </c>
      <c r="O35" s="227"/>
      <c r="P35" s="46">
        <v>75230</v>
      </c>
      <c r="Q35" s="13"/>
      <c r="R35" s="2"/>
      <c r="S35" s="2"/>
      <c r="T35" s="2"/>
      <c r="U35" s="2"/>
      <c r="V35" s="2"/>
      <c r="W35" s="2"/>
      <c r="X35" s="2"/>
      <c r="Y35" s="2"/>
      <c r="Z35" s="5"/>
      <c r="AA35" s="2"/>
      <c r="AB35" s="2"/>
      <c r="AC35" s="2"/>
      <c r="AD35" s="2"/>
      <c r="AE35" s="2"/>
      <c r="AF35" s="2"/>
      <c r="AG35" s="2"/>
    </row>
    <row r="36" spans="1:33" ht="12.75">
      <c r="A36" s="210" t="s">
        <v>103</v>
      </c>
      <c r="B36" s="211"/>
      <c r="C36" s="212"/>
      <c r="D36" s="277" t="s">
        <v>40</v>
      </c>
      <c r="E36" s="278"/>
      <c r="F36" s="279"/>
      <c r="G36" s="47" t="s">
        <v>41</v>
      </c>
      <c r="H36" s="48"/>
      <c r="I36" s="48"/>
      <c r="J36" s="48"/>
      <c r="K36" s="48"/>
      <c r="L36" s="48"/>
      <c r="M36" s="48"/>
      <c r="N36" s="48"/>
      <c r="O36" s="48"/>
      <c r="P36" s="49"/>
      <c r="Q36" s="87"/>
      <c r="R36" s="2"/>
      <c r="S36" s="2"/>
      <c r="T36" s="2"/>
      <c r="U36" s="2"/>
      <c r="V36" s="2"/>
      <c r="W36" s="2"/>
      <c r="X36" s="2"/>
      <c r="Y36" s="2"/>
      <c r="Z36" s="5"/>
      <c r="AA36" s="2"/>
      <c r="AB36" s="2"/>
      <c r="AC36" s="2"/>
      <c r="AD36" s="2"/>
      <c r="AE36" s="2"/>
      <c r="AF36" s="2"/>
      <c r="AG36" s="2"/>
    </row>
    <row r="37" spans="1:33" ht="3" customHeight="1">
      <c r="A37" s="199"/>
      <c r="B37" s="199"/>
      <c r="C37" s="199"/>
      <c r="D37" s="5"/>
      <c r="E37" s="5"/>
      <c r="F37" s="5"/>
      <c r="G37" s="5"/>
      <c r="H37" s="5"/>
      <c r="I37" s="5"/>
      <c r="J37" s="5"/>
      <c r="K37" s="5"/>
      <c r="L37" s="5"/>
      <c r="M37" s="5"/>
      <c r="N37" s="5"/>
      <c r="O37" s="5"/>
      <c r="P37" s="5"/>
      <c r="Q37" s="5"/>
      <c r="R37" s="2"/>
      <c r="S37" s="2"/>
      <c r="T37" s="2"/>
      <c r="U37" s="2"/>
      <c r="V37" s="2"/>
      <c r="W37" s="2"/>
      <c r="X37" s="2"/>
      <c r="Y37" s="2"/>
      <c r="Z37" s="5"/>
      <c r="AA37" s="2"/>
      <c r="AB37" s="2"/>
      <c r="AC37" s="2"/>
      <c r="AD37" s="2"/>
      <c r="AE37" s="2"/>
      <c r="AF37" s="2"/>
      <c r="AG37" s="2"/>
    </row>
    <row r="38" spans="1:33" ht="12.75">
      <c r="A38" s="213" t="s">
        <v>104</v>
      </c>
      <c r="B38" s="214"/>
      <c r="C38" s="215"/>
      <c r="D38" s="13"/>
      <c r="E38" s="13"/>
      <c r="F38" s="13"/>
      <c r="G38" s="13"/>
      <c r="H38" s="13"/>
      <c r="I38" s="13"/>
      <c r="J38" s="13"/>
      <c r="K38" s="269" t="str">
        <f>IF(sodisc="SI","Campo 10"," ")</f>
        <v> </v>
      </c>
      <c r="L38" s="269"/>
      <c r="M38" s="92" t="str">
        <f>IF(sodisc="SI",22," ")</f>
        <v> </v>
      </c>
      <c r="N38" s="13"/>
      <c r="O38" s="13"/>
      <c r="P38" s="13"/>
      <c r="Q38" s="13"/>
      <c r="R38" s="2"/>
      <c r="S38" s="2"/>
      <c r="T38" s="2"/>
      <c r="U38" s="2"/>
      <c r="V38" s="2"/>
      <c r="W38" s="2"/>
      <c r="X38" s="2"/>
      <c r="Y38" s="2"/>
      <c r="Z38" s="5"/>
      <c r="AA38" s="2"/>
      <c r="AB38" s="2"/>
      <c r="AC38" s="2"/>
      <c r="AD38" s="2"/>
      <c r="AE38" s="2"/>
      <c r="AF38" s="2"/>
      <c r="AG38" s="2"/>
    </row>
    <row r="39" spans="1:33" ht="12.75">
      <c r="A39" s="158" t="s">
        <v>105</v>
      </c>
      <c r="B39" s="159"/>
      <c r="C39" s="160"/>
      <c r="D39" s="68" t="s">
        <v>42</v>
      </c>
      <c r="E39" s="69" t="s">
        <v>43</v>
      </c>
      <c r="F39" s="69"/>
      <c r="G39" s="69" t="s">
        <v>44</v>
      </c>
      <c r="H39" s="69" t="s">
        <v>45</v>
      </c>
      <c r="I39" s="69" t="s">
        <v>46</v>
      </c>
      <c r="J39" s="69" t="s">
        <v>47</v>
      </c>
      <c r="K39" s="69" t="s">
        <v>48</v>
      </c>
      <c r="L39" s="69" t="s">
        <v>49</v>
      </c>
      <c r="M39" s="69" t="s">
        <v>50</v>
      </c>
      <c r="N39" s="69" t="s">
        <v>51</v>
      </c>
      <c r="O39" s="69" t="s">
        <v>53</v>
      </c>
      <c r="P39" s="69" t="s">
        <v>54</v>
      </c>
      <c r="Q39" s="69" t="s">
        <v>55</v>
      </c>
      <c r="R39" s="2"/>
      <c r="S39" s="2"/>
      <c r="T39" s="2"/>
      <c r="U39" s="265" t="s">
        <v>133</v>
      </c>
      <c r="V39" s="265"/>
      <c r="W39" s="2"/>
      <c r="X39" s="2"/>
      <c r="Y39" s="2"/>
      <c r="Z39" s="5"/>
      <c r="AA39" s="2"/>
      <c r="AB39" s="2"/>
      <c r="AC39" s="2"/>
      <c r="AD39" s="2"/>
      <c r="AE39" s="2"/>
      <c r="AF39" s="2"/>
      <c r="AG39" s="2"/>
    </row>
    <row r="40" spans="1:33" ht="12.75">
      <c r="A40" s="192"/>
      <c r="B40" s="193"/>
      <c r="C40" s="194"/>
      <c r="D40" s="75">
        <f>IF($D$12&gt;0,$D$12," ")</f>
        <v>39083</v>
      </c>
      <c r="E40" s="20">
        <f>IF($E$12&gt;0,$E$12," ")</f>
        <v>39447</v>
      </c>
      <c r="F40" s="21"/>
      <c r="G40" s="22">
        <v>4</v>
      </c>
      <c r="H40" s="22">
        <v>7</v>
      </c>
      <c r="I40" s="22">
        <v>9</v>
      </c>
      <c r="J40" s="23" t="s">
        <v>91</v>
      </c>
      <c r="K40" s="23" t="s">
        <v>92</v>
      </c>
      <c r="L40" s="22" t="str">
        <f>IF(Area&gt;0,IF(Area="C3","043000",IF(Area="C2","042000",IF(Area="C1S","041000",IF(Area="C1","040000",IF(Area="B3S","035000",IF(Area="B3","034000"))))))," ")</f>
        <v>040000</v>
      </c>
      <c r="M40" s="22" t="str">
        <f>IF($J$5="SI","8","1")</f>
        <v>1</v>
      </c>
      <c r="N40" s="22" t="str">
        <f>IF($G$24="SI",9,IF($J$5="SI","5","4"))</f>
        <v>4</v>
      </c>
      <c r="O40" s="22" t="str">
        <f>IF($J$5="SI","V"," ")</f>
        <v> </v>
      </c>
      <c r="P40" s="24" t="str">
        <f>IF($K$6&gt;0,100-K6," ")</f>
        <v> </v>
      </c>
      <c r="Q40" s="85" t="str">
        <f>IF(pt="si",vuota,IF(dper&gt;0,(DAYS360(dal,al)+1),IF(tratt&gt;0,IF($J$5="si",vuota,IF($S40=vuota,$T40,$S40)),vuota)))</f>
        <v> </v>
      </c>
      <c r="R40" s="101" t="str">
        <f>IF(dper&gt;0,(DAYS360(dal,al)+1),IF(tratt&gt;0,IF($J$5="si",U40,IF($S40=vuota,$T40,$S40)),vuota))</f>
        <v> </v>
      </c>
      <c r="S40" s="3">
        <f>IF(DAYS360(dal,al)&lt;31,30,IF(DAYS360(dal,al)&lt;61,60,IF(DAYS360(dal,al)&lt;91,90,IF(DAYS360(dal,al)&lt;121,120,IF(DAYS360(dal,al)&lt;151,150,IF(DAYS360(dal,al)&lt;181,180,IF(DAYS360(dal,al)&lt;211,210,vuota)))))))</f>
        <v>0</v>
      </c>
      <c r="T40" s="2" t="str">
        <f>IF(S40=" ",IF(DAYS360(dal,al)&lt;241,240,IF(DAYS360(dal,al)&lt;270,270,IF(DAYS360(dal,al)&lt;301,300,IF(DAYS360(dal,al)&lt;330,330,IF(DAYS360(dal,al)&lt;361,360)))))," ")</f>
        <v> </v>
      </c>
      <c r="U40" s="86">
        <f>+gmpt</f>
        <v>0</v>
      </c>
      <c r="V40" s="4">
        <f>IF(dper="SI",R40,U40)</f>
        <v>0</v>
      </c>
      <c r="W40" s="2"/>
      <c r="X40" s="2"/>
      <c r="Y40" s="2"/>
      <c r="Z40" s="5"/>
      <c r="AA40" s="2"/>
      <c r="AB40" s="2"/>
      <c r="AC40" s="2"/>
      <c r="AD40" s="2"/>
      <c r="AE40" s="2"/>
      <c r="AF40" s="2"/>
      <c r="AG40" s="2"/>
    </row>
    <row r="41" spans="1:33" ht="1.5" customHeight="1">
      <c r="A41" s="192"/>
      <c r="B41" s="193"/>
      <c r="C41" s="194"/>
      <c r="D41" s="12"/>
      <c r="E41" s="12"/>
      <c r="F41" s="12"/>
      <c r="G41" s="12"/>
      <c r="H41" s="12"/>
      <c r="I41" s="12"/>
      <c r="J41" s="12"/>
      <c r="K41" s="12"/>
      <c r="L41" s="12"/>
      <c r="M41" s="12"/>
      <c r="N41" s="12"/>
      <c r="O41" s="12"/>
      <c r="P41" s="12"/>
      <c r="Q41" s="12"/>
      <c r="R41" s="2"/>
      <c r="S41" s="2"/>
      <c r="T41" s="2"/>
      <c r="U41" s="2"/>
      <c r="V41" s="2"/>
      <c r="W41" s="2"/>
      <c r="X41" s="2"/>
      <c r="Y41" s="2"/>
      <c r="Z41" s="5"/>
      <c r="AA41" s="2"/>
      <c r="AB41" s="2"/>
      <c r="AC41" s="2"/>
      <c r="AD41" s="2"/>
      <c r="AE41" s="2"/>
      <c r="AF41" s="2"/>
      <c r="AG41" s="2"/>
    </row>
    <row r="42" spans="1:33" ht="12.75">
      <c r="A42" s="192"/>
      <c r="B42" s="193"/>
      <c r="C42" s="194"/>
      <c r="D42" s="68" t="s">
        <v>56</v>
      </c>
      <c r="E42" s="69" t="s">
        <v>57</v>
      </c>
      <c r="F42" s="69"/>
      <c r="G42" s="69" t="s">
        <v>58</v>
      </c>
      <c r="H42" s="69" t="s">
        <v>59</v>
      </c>
      <c r="I42" s="69" t="s">
        <v>60</v>
      </c>
      <c r="J42" s="69" t="s">
        <v>61</v>
      </c>
      <c r="K42" s="69" t="s">
        <v>62</v>
      </c>
      <c r="L42" s="69" t="s">
        <v>93</v>
      </c>
      <c r="M42" s="69" t="s">
        <v>126</v>
      </c>
      <c r="N42" s="69" t="s">
        <v>63</v>
      </c>
      <c r="O42" s="69" t="s">
        <v>64</v>
      </c>
      <c r="P42" s="69" t="s">
        <v>65</v>
      </c>
      <c r="Q42" s="69" t="s">
        <v>66</v>
      </c>
      <c r="R42" s="2"/>
      <c r="S42" s="2"/>
      <c r="T42" s="2"/>
      <c r="U42" s="2"/>
      <c r="V42" s="2"/>
      <c r="W42" s="2"/>
      <c r="X42" s="2"/>
      <c r="Y42" s="2"/>
      <c r="Z42" s="5"/>
      <c r="AA42" s="2"/>
      <c r="AB42" s="2"/>
      <c r="AC42" s="2"/>
      <c r="AD42" s="2"/>
      <c r="AE42" s="2"/>
      <c r="AF42" s="2"/>
      <c r="AG42" s="2"/>
    </row>
    <row r="43" spans="1:33" ht="12.75">
      <c r="A43" s="192"/>
      <c r="B43" s="193"/>
      <c r="C43" s="194"/>
      <c r="D43" s="39">
        <f>IF(sodisc="SI",0,+F12+F13)</f>
        <v>1587.39</v>
      </c>
      <c r="E43" s="25">
        <f>IF(sodisc="SI",0,SUM(F14:F16))</f>
        <v>432.74</v>
      </c>
      <c r="F43" s="25"/>
      <c r="G43" s="25">
        <f>+D43+E43</f>
        <v>2020.13</v>
      </c>
      <c r="H43" s="25">
        <f>+J12+J13+J14+J15+J16</f>
        <v>659.57245</v>
      </c>
      <c r="I43" s="25" t="str">
        <f>IF($Q$17&gt;0,$Q$17,vuota)</f>
        <v> </v>
      </c>
      <c r="J43" s="25">
        <f>IF(sodisc="SI",0,IF(tratt="TFS",IF(G24="SI",ROUND($AA$12*80%+$AA$13*80%+$AA$14*80%,2),ROUND($F$12*80%+$F$13*80%+$F$14*80%,2)),vuota))</f>
        <v>1616.1</v>
      </c>
      <c r="K43" s="25">
        <f>IF(tratt="TFS",($P$12+$P$13+$P$14),vuota)</f>
        <v>155.14598</v>
      </c>
      <c r="L43" s="25">
        <f>IF(sodisc="SI",0,IF(tratt="TFS",vuota,IF(G24="SI",ROUND(AA15*80%,2),ROUND($Q$43*80%,5))))</f>
        <v>0</v>
      </c>
      <c r="M43" s="25">
        <f>IF(tratt="TFS",vuota,($P$12+$P$13+$P$14))</f>
        <v>0</v>
      </c>
      <c r="N43" s="25">
        <f>+G43</f>
        <v>2020.13</v>
      </c>
      <c r="O43" s="25">
        <f>+M12+M13+M14+M15+M16</f>
        <v>7.07046</v>
      </c>
      <c r="P43" s="25">
        <f>IF(sodisc="SI",0,IF(tratt="TFS",vuota,$AB$12+$AB$13+$AB$14))</f>
        <v>0</v>
      </c>
      <c r="Q43" s="125"/>
      <c r="R43" s="2"/>
      <c r="S43" s="2"/>
      <c r="T43" s="2"/>
      <c r="U43" s="2"/>
      <c r="V43" s="2"/>
      <c r="W43" s="2"/>
      <c r="X43" s="2"/>
      <c r="Y43" s="2"/>
      <c r="Z43" s="5"/>
      <c r="AA43" s="2"/>
      <c r="AB43" s="2"/>
      <c r="AC43" s="2"/>
      <c r="AD43" s="2"/>
      <c r="AE43" s="2"/>
      <c r="AF43" s="2"/>
      <c r="AG43" s="2"/>
    </row>
    <row r="44" spans="1:33" ht="3" customHeight="1">
      <c r="A44" s="203"/>
      <c r="B44" s="204"/>
      <c r="C44" s="205"/>
      <c r="D44" s="13"/>
      <c r="E44" s="13"/>
      <c r="F44" s="13"/>
      <c r="G44" s="13"/>
      <c r="H44" s="13"/>
      <c r="I44" s="13"/>
      <c r="J44" s="13"/>
      <c r="K44" s="13"/>
      <c r="L44" s="13"/>
      <c r="M44" s="13"/>
      <c r="N44" s="13"/>
      <c r="O44" s="13"/>
      <c r="P44" s="13"/>
      <c r="Q44" s="13"/>
      <c r="R44" s="2"/>
      <c r="S44" s="2"/>
      <c r="T44" s="2"/>
      <c r="U44" s="2"/>
      <c r="V44" s="2"/>
      <c r="W44" s="2"/>
      <c r="X44" s="2"/>
      <c r="Y44" s="2"/>
      <c r="Z44" s="5"/>
      <c r="AA44" s="2"/>
      <c r="AB44" s="2"/>
      <c r="AC44" s="2"/>
      <c r="AD44" s="2"/>
      <c r="AE44" s="2"/>
      <c r="AF44" s="2"/>
      <c r="AG44" s="2"/>
    </row>
    <row r="45" spans="1:33" ht="12.75">
      <c r="A45" s="158" t="s">
        <v>81</v>
      </c>
      <c r="B45" s="159"/>
      <c r="C45" s="160"/>
      <c r="D45" s="221" t="s">
        <v>82</v>
      </c>
      <c r="E45" s="70" t="s">
        <v>83</v>
      </c>
      <c r="F45" s="71"/>
      <c r="G45" s="179" t="s">
        <v>84</v>
      </c>
      <c r="H45" s="179"/>
      <c r="I45" s="179" t="s">
        <v>85</v>
      </c>
      <c r="J45" s="179"/>
      <c r="K45" s="179" t="s">
        <v>86</v>
      </c>
      <c r="L45" s="179"/>
      <c r="M45" s="179" t="s">
        <v>87</v>
      </c>
      <c r="N45" s="179"/>
      <c r="O45" s="179" t="s">
        <v>88</v>
      </c>
      <c r="P45" s="179"/>
      <c r="Q45" s="53"/>
      <c r="R45" s="2"/>
      <c r="S45" s="2"/>
      <c r="T45" s="2"/>
      <c r="U45" s="2"/>
      <c r="V45" s="2"/>
      <c r="W45" s="2"/>
      <c r="X45" s="2"/>
      <c r="Y45" s="2"/>
      <c r="Z45" s="5"/>
      <c r="AA45" s="2"/>
      <c r="AB45" s="2"/>
      <c r="AC45" s="2"/>
      <c r="AD45" s="2"/>
      <c r="AE45" s="2"/>
      <c r="AF45" s="2"/>
      <c r="AG45" s="2"/>
    </row>
    <row r="46" spans="1:33" ht="12.75">
      <c r="A46" s="192"/>
      <c r="B46" s="193"/>
      <c r="C46" s="194"/>
      <c r="D46" s="222"/>
      <c r="E46" s="22">
        <v>1</v>
      </c>
      <c r="F46" s="21"/>
      <c r="G46" s="181">
        <f>+$I$35</f>
        <v>80184430587</v>
      </c>
      <c r="H46" s="181"/>
      <c r="I46" s="183" t="s">
        <v>94</v>
      </c>
      <c r="J46" s="181"/>
      <c r="K46" s="181"/>
      <c r="L46" s="181"/>
      <c r="M46" s="182">
        <f>+N43</f>
        <v>2020.13</v>
      </c>
      <c r="N46" s="182"/>
      <c r="O46" s="182">
        <f>+I12+I13+I14+I15+I16</f>
        <v>480.79094</v>
      </c>
      <c r="P46" s="182"/>
      <c r="Q46" s="54"/>
      <c r="R46" s="2"/>
      <c r="S46" s="2"/>
      <c r="T46" s="2"/>
      <c r="U46" s="2"/>
      <c r="V46" s="2"/>
      <c r="W46" s="2"/>
      <c r="X46" s="2"/>
      <c r="Y46" s="2"/>
      <c r="Z46" s="5"/>
      <c r="AA46" s="2"/>
      <c r="AB46" s="2"/>
      <c r="AC46" s="2"/>
      <c r="AD46" s="2"/>
      <c r="AE46" s="2"/>
      <c r="AF46" s="2"/>
      <c r="AG46" s="2"/>
    </row>
    <row r="47" spans="1:33" ht="1.5" customHeight="1">
      <c r="A47" s="192"/>
      <c r="B47" s="193"/>
      <c r="C47" s="194"/>
      <c r="D47" s="38"/>
      <c r="E47" s="12"/>
      <c r="F47" s="12"/>
      <c r="G47" s="12"/>
      <c r="H47" s="12"/>
      <c r="I47" s="12"/>
      <c r="J47" s="12"/>
      <c r="K47" s="12"/>
      <c r="L47" s="12"/>
      <c r="M47" s="12"/>
      <c r="N47" s="12"/>
      <c r="O47" s="12"/>
      <c r="P47" s="12"/>
      <c r="Q47" s="12"/>
      <c r="R47" s="2"/>
      <c r="S47" s="2"/>
      <c r="T47" s="2"/>
      <c r="U47" s="2"/>
      <c r="V47" s="2"/>
      <c r="W47" s="2"/>
      <c r="X47" s="2"/>
      <c r="Y47" s="2"/>
      <c r="Z47" s="5"/>
      <c r="AA47" s="2"/>
      <c r="AB47" s="2"/>
      <c r="AC47" s="2"/>
      <c r="AD47" s="2"/>
      <c r="AE47" s="2"/>
      <c r="AF47" s="2"/>
      <c r="AG47" s="2"/>
    </row>
    <row r="48" spans="1:33" ht="12.75">
      <c r="A48" s="192"/>
      <c r="B48" s="193"/>
      <c r="C48" s="194"/>
      <c r="D48" s="221" t="s">
        <v>89</v>
      </c>
      <c r="E48" s="70" t="s">
        <v>83</v>
      </c>
      <c r="F48" s="71"/>
      <c r="G48" s="179" t="s">
        <v>84</v>
      </c>
      <c r="H48" s="179"/>
      <c r="I48" s="179" t="s">
        <v>85</v>
      </c>
      <c r="J48" s="179"/>
      <c r="K48" s="179" t="s">
        <v>86</v>
      </c>
      <c r="L48" s="179"/>
      <c r="M48" s="179" t="s">
        <v>87</v>
      </c>
      <c r="N48" s="179"/>
      <c r="O48" s="179" t="s">
        <v>88</v>
      </c>
      <c r="P48" s="179"/>
      <c r="Q48" s="53"/>
      <c r="R48" s="2"/>
      <c r="S48" s="2"/>
      <c r="T48" s="2"/>
      <c r="U48" s="2"/>
      <c r="V48" s="2"/>
      <c r="W48" s="2"/>
      <c r="X48" s="2"/>
      <c r="Y48" s="2"/>
      <c r="Z48" s="5"/>
      <c r="AA48" s="2"/>
      <c r="AB48" s="2"/>
      <c r="AC48" s="2"/>
      <c r="AD48" s="2"/>
      <c r="AE48" s="2"/>
      <c r="AF48" s="2"/>
      <c r="AG48" s="2"/>
    </row>
    <row r="49" spans="1:33" ht="12.75">
      <c r="A49" s="195"/>
      <c r="B49" s="196"/>
      <c r="C49" s="197"/>
      <c r="D49" s="222"/>
      <c r="E49" s="22" t="str">
        <f>IF(tratt="TFS","7","8")</f>
        <v>7</v>
      </c>
      <c r="F49" s="21"/>
      <c r="G49" s="181">
        <f>+$I$35</f>
        <v>80184430587</v>
      </c>
      <c r="H49" s="181"/>
      <c r="I49" s="181" t="str">
        <f>+I46</f>
        <v>00000</v>
      </c>
      <c r="J49" s="181"/>
      <c r="K49" s="181"/>
      <c r="L49" s="181"/>
      <c r="M49" s="182">
        <f>IF(tratt="TFS",+J43,+L43)</f>
        <v>1616.1</v>
      </c>
      <c r="N49" s="182"/>
      <c r="O49" s="182">
        <f>+O12+O13+O14</f>
        <v>114.74338</v>
      </c>
      <c r="P49" s="182"/>
      <c r="Q49" s="54"/>
      <c r="R49" s="2"/>
      <c r="S49" s="2"/>
      <c r="T49" s="2"/>
      <c r="U49" s="2"/>
      <c r="V49" s="2"/>
      <c r="W49" s="2"/>
      <c r="X49" s="2"/>
      <c r="Y49" s="2"/>
      <c r="Z49" s="5"/>
      <c r="AA49" s="2"/>
      <c r="AB49" s="2"/>
      <c r="AC49" s="2"/>
      <c r="AD49" s="2"/>
      <c r="AE49" s="2"/>
      <c r="AF49" s="2"/>
      <c r="AG49" s="2"/>
    </row>
    <row r="50" spans="1:33" ht="3" customHeight="1">
      <c r="A50" s="198"/>
      <c r="B50" s="198"/>
      <c r="C50" s="198"/>
      <c r="D50" s="5"/>
      <c r="E50" s="5"/>
      <c r="F50" s="5"/>
      <c r="G50" s="5"/>
      <c r="H50" s="5"/>
      <c r="I50" s="5"/>
      <c r="J50" s="5"/>
      <c r="K50" s="5"/>
      <c r="L50" s="5"/>
      <c r="M50" s="5"/>
      <c r="N50" s="5"/>
      <c r="O50" s="5"/>
      <c r="P50" s="5"/>
      <c r="Q50" s="5"/>
      <c r="R50" s="2"/>
      <c r="S50" s="2"/>
      <c r="T50" s="2"/>
      <c r="U50" s="2"/>
      <c r="V50" s="2"/>
      <c r="W50" s="2"/>
      <c r="X50" s="2"/>
      <c r="Y50" s="2"/>
      <c r="Z50" s="5"/>
      <c r="AA50" s="2"/>
      <c r="AB50" s="2"/>
      <c r="AC50" s="2"/>
      <c r="AD50" s="2"/>
      <c r="AE50" s="2"/>
      <c r="AF50" s="2"/>
      <c r="AG50" s="2"/>
    </row>
    <row r="51" spans="1:33" ht="12.75">
      <c r="A51" s="200" t="s">
        <v>178</v>
      </c>
      <c r="B51" s="201"/>
      <c r="C51" s="202"/>
      <c r="D51" s="13"/>
      <c r="E51" s="13"/>
      <c r="F51" s="13"/>
      <c r="G51" s="13"/>
      <c r="H51" s="13"/>
      <c r="I51" s="13"/>
      <c r="J51" s="13"/>
      <c r="K51" s="178" t="str">
        <f>IF(sodisc="SI","Campo 10"," ")</f>
        <v> </v>
      </c>
      <c r="L51" s="178"/>
      <c r="M51" s="92" t="str">
        <f>IF(sodisc="SI",22," ")</f>
        <v> </v>
      </c>
      <c r="N51" s="13"/>
      <c r="O51" s="13"/>
      <c r="P51" s="13"/>
      <c r="Q51" s="13"/>
      <c r="R51" s="2"/>
      <c r="S51" s="2"/>
      <c r="T51" s="2"/>
      <c r="U51" s="2"/>
      <c r="V51" s="2"/>
      <c r="W51" s="2"/>
      <c r="X51" s="2"/>
      <c r="Y51" s="2"/>
      <c r="Z51" s="5"/>
      <c r="AA51" s="2"/>
      <c r="AB51" s="2"/>
      <c r="AC51" s="2"/>
      <c r="AD51" s="2"/>
      <c r="AE51" s="2"/>
      <c r="AF51" s="2"/>
      <c r="AG51" s="2"/>
    </row>
    <row r="52" spans="1:33" ht="12.75">
      <c r="A52" s="108"/>
      <c r="B52" s="108"/>
      <c r="C52" s="108"/>
      <c r="D52" s="165" t="s">
        <v>42</v>
      </c>
      <c r="E52" s="166"/>
      <c r="F52" s="144"/>
      <c r="G52" s="69" t="s">
        <v>43</v>
      </c>
      <c r="H52" s="69" t="s">
        <v>44</v>
      </c>
      <c r="I52" s="69" t="s">
        <v>45</v>
      </c>
      <c r="J52" s="69" t="s">
        <v>46</v>
      </c>
      <c r="K52" s="69" t="s">
        <v>189</v>
      </c>
      <c r="L52" s="69" t="s">
        <v>47</v>
      </c>
      <c r="M52" s="165" t="s">
        <v>48</v>
      </c>
      <c r="N52" s="166"/>
      <c r="O52" s="145"/>
      <c r="P52" s="145"/>
      <c r="Q52" s="13"/>
      <c r="R52" s="2"/>
      <c r="S52" s="2"/>
      <c r="T52" s="2"/>
      <c r="U52" s="2"/>
      <c r="V52" s="2"/>
      <c r="W52" s="2"/>
      <c r="X52" s="2"/>
      <c r="Y52" s="2"/>
      <c r="Z52" s="5"/>
      <c r="AA52" s="2"/>
      <c r="AB52" s="2"/>
      <c r="AC52" s="2"/>
      <c r="AD52" s="2"/>
      <c r="AE52" s="2"/>
      <c r="AF52" s="2"/>
      <c r="AG52" s="2"/>
    </row>
    <row r="53" spans="1:33" ht="12.75">
      <c r="A53" s="109"/>
      <c r="B53" s="109"/>
      <c r="C53" s="109"/>
      <c r="D53" s="156" t="str">
        <f>IF(H53&gt;0,'Stipendio tabellare e aliquote '!$F$35,Vuota1)</f>
        <v> </v>
      </c>
      <c r="E53" s="22" t="str">
        <f>IF(H53&gt;0,'Stipendio tabellare e aliquote '!$E$35,Vuota1)</f>
        <v> </v>
      </c>
      <c r="F53" s="21"/>
      <c r="G53" s="22">
        <v>4</v>
      </c>
      <c r="H53" s="146"/>
      <c r="I53" s="147"/>
      <c r="J53" s="146"/>
      <c r="K53" s="146"/>
      <c r="L53" s="146"/>
      <c r="M53" s="167"/>
      <c r="N53" s="168"/>
      <c r="O53" s="145"/>
      <c r="P53" s="145"/>
      <c r="Q53" s="13"/>
      <c r="R53" s="2"/>
      <c r="S53" s="2"/>
      <c r="T53" s="2"/>
      <c r="U53" s="2"/>
      <c r="V53" s="2"/>
      <c r="W53" s="2"/>
      <c r="X53" s="2"/>
      <c r="Y53" s="2"/>
      <c r="Z53" s="5"/>
      <c r="AA53" s="2"/>
      <c r="AB53" s="2"/>
      <c r="AC53" s="2"/>
      <c r="AD53" s="2"/>
      <c r="AE53" s="2"/>
      <c r="AF53" s="2"/>
      <c r="AG53" s="2"/>
    </row>
    <row r="54" spans="1:33" ht="3" customHeight="1">
      <c r="A54" s="198"/>
      <c r="B54" s="198"/>
      <c r="C54" s="198"/>
      <c r="D54" s="5"/>
      <c r="E54" s="5"/>
      <c r="F54" s="5"/>
      <c r="G54" s="5"/>
      <c r="H54" s="5"/>
      <c r="I54" s="5"/>
      <c r="J54" s="5"/>
      <c r="K54" s="5"/>
      <c r="L54" s="5"/>
      <c r="M54" s="5"/>
      <c r="N54" s="5"/>
      <c r="O54" s="5"/>
      <c r="P54" s="5"/>
      <c r="Q54" s="5"/>
      <c r="R54" s="2"/>
      <c r="S54" s="2"/>
      <c r="T54" s="2"/>
      <c r="U54" s="2"/>
      <c r="V54" s="2"/>
      <c r="W54" s="2"/>
      <c r="X54" s="2"/>
      <c r="Y54" s="2"/>
      <c r="Z54" s="5"/>
      <c r="AA54" s="2"/>
      <c r="AB54" s="2"/>
      <c r="AC54" s="2"/>
      <c r="AD54" s="2"/>
      <c r="AE54" s="2"/>
      <c r="AF54" s="2"/>
      <c r="AG54" s="2"/>
    </row>
    <row r="55" spans="1:33" ht="12.75">
      <c r="A55" s="200" t="s">
        <v>178</v>
      </c>
      <c r="B55" s="201"/>
      <c r="C55" s="202"/>
      <c r="D55" s="13"/>
      <c r="E55" s="13"/>
      <c r="F55" s="13"/>
      <c r="G55" s="13"/>
      <c r="H55" s="13"/>
      <c r="I55" s="13"/>
      <c r="J55" s="13"/>
      <c r="K55" s="178" t="str">
        <f>IF(sodisc="SI","Campo 10"," ")</f>
        <v> </v>
      </c>
      <c r="L55" s="178"/>
      <c r="M55" s="92" t="str">
        <f>IF(sodisc="SI",22," ")</f>
        <v> </v>
      </c>
      <c r="N55" s="13"/>
      <c r="O55" s="13"/>
      <c r="P55" s="13"/>
      <c r="Q55" s="13"/>
      <c r="R55" s="2"/>
      <c r="S55" s="2"/>
      <c r="T55" s="2"/>
      <c r="U55" s="2"/>
      <c r="V55" s="2"/>
      <c r="W55" s="2"/>
      <c r="X55" s="2"/>
      <c r="Y55" s="2"/>
      <c r="Z55" s="5"/>
      <c r="AA55" s="2"/>
      <c r="AB55" s="2"/>
      <c r="AC55" s="2"/>
      <c r="AD55" s="2"/>
      <c r="AE55" s="2"/>
      <c r="AF55" s="2"/>
      <c r="AG55" s="2"/>
    </row>
    <row r="56" spans="1:33" ht="12.75">
      <c r="A56" s="108"/>
      <c r="B56" s="108"/>
      <c r="C56" s="108"/>
      <c r="D56" s="165" t="s">
        <v>42</v>
      </c>
      <c r="E56" s="166"/>
      <c r="F56" s="144"/>
      <c r="G56" s="69" t="s">
        <v>43</v>
      </c>
      <c r="H56" s="69" t="s">
        <v>44</v>
      </c>
      <c r="I56" s="69" t="s">
        <v>45</v>
      </c>
      <c r="J56" s="69" t="s">
        <v>46</v>
      </c>
      <c r="K56" s="69" t="s">
        <v>189</v>
      </c>
      <c r="L56" s="69" t="s">
        <v>47</v>
      </c>
      <c r="M56" s="165" t="s">
        <v>48</v>
      </c>
      <c r="N56" s="166"/>
      <c r="O56" s="145"/>
      <c r="P56" s="145"/>
      <c r="Q56" s="13"/>
      <c r="R56" s="2"/>
      <c r="S56" s="2"/>
      <c r="T56" s="2"/>
      <c r="U56" s="2"/>
      <c r="V56" s="2"/>
      <c r="W56" s="2"/>
      <c r="X56" s="2"/>
      <c r="Y56" s="2"/>
      <c r="Z56" s="5"/>
      <c r="AA56" s="2"/>
      <c r="AB56" s="2"/>
      <c r="AC56" s="2"/>
      <c r="AD56" s="2"/>
      <c r="AE56" s="2"/>
      <c r="AF56" s="2"/>
      <c r="AG56" s="2"/>
    </row>
    <row r="57" spans="1:33" ht="12.75">
      <c r="A57" s="109"/>
      <c r="B57" s="109"/>
      <c r="C57" s="109"/>
      <c r="D57" s="156" t="str">
        <f>IF(H57&gt;0,'Stipendio tabellare e aliquote '!$F$35,Vuota1)</f>
        <v> </v>
      </c>
      <c r="E57" s="22" t="str">
        <f>IF(H57&gt;0,'Stipendio tabellare e aliquote '!$E$35,Vuota1)</f>
        <v> </v>
      </c>
      <c r="F57" s="21"/>
      <c r="G57" s="22">
        <v>7</v>
      </c>
      <c r="H57" s="146"/>
      <c r="I57" s="147"/>
      <c r="J57" s="146"/>
      <c r="K57" s="146"/>
      <c r="L57" s="146"/>
      <c r="M57" s="167"/>
      <c r="N57" s="168"/>
      <c r="O57" s="145"/>
      <c r="P57" s="145"/>
      <c r="Q57" s="13"/>
      <c r="R57" s="2"/>
      <c r="S57" s="2"/>
      <c r="T57" s="2"/>
      <c r="U57" s="2"/>
      <c r="V57" s="2"/>
      <c r="W57" s="2"/>
      <c r="X57" s="2"/>
      <c r="Y57" s="2"/>
      <c r="Z57" s="5"/>
      <c r="AA57" s="2"/>
      <c r="AB57" s="2"/>
      <c r="AC57" s="2"/>
      <c r="AD57" s="2"/>
      <c r="AE57" s="2"/>
      <c r="AF57" s="2"/>
      <c r="AG57" s="2"/>
    </row>
    <row r="58" spans="1:33" ht="3" customHeight="1">
      <c r="A58" s="198"/>
      <c r="B58" s="198"/>
      <c r="C58" s="198"/>
      <c r="D58" s="5"/>
      <c r="E58" s="5"/>
      <c r="F58" s="5"/>
      <c r="G58" s="5"/>
      <c r="H58" s="5"/>
      <c r="I58" s="5"/>
      <c r="J58" s="5"/>
      <c r="K58" s="5"/>
      <c r="L58" s="5"/>
      <c r="M58" s="5"/>
      <c r="N58" s="5"/>
      <c r="O58" s="5"/>
      <c r="P58" s="5"/>
      <c r="Q58" s="5"/>
      <c r="R58" s="2"/>
      <c r="S58" s="2"/>
      <c r="T58" s="2"/>
      <c r="U58" s="2"/>
      <c r="V58" s="2"/>
      <c r="W58" s="2"/>
      <c r="X58" s="2"/>
      <c r="Y58" s="2"/>
      <c r="Z58" s="5"/>
      <c r="AA58" s="2"/>
      <c r="AB58" s="2"/>
      <c r="AC58" s="2"/>
      <c r="AD58" s="2"/>
      <c r="AE58" s="2"/>
      <c r="AF58" s="2"/>
      <c r="AG58" s="2"/>
    </row>
    <row r="59" spans="1:33" ht="12.75">
      <c r="A59" s="200" t="s">
        <v>106</v>
      </c>
      <c r="B59" s="201"/>
      <c r="C59" s="202"/>
      <c r="D59" s="13"/>
      <c r="E59" s="261">
        <f>+G4</f>
        <v>0</v>
      </c>
      <c r="F59" s="261"/>
      <c r="G59" s="261"/>
      <c r="H59" s="262">
        <f>+I4</f>
        <v>0</v>
      </c>
      <c r="I59" s="262"/>
      <c r="J59" s="56" t="s">
        <v>3</v>
      </c>
      <c r="K59" s="55">
        <f>+L4</f>
        <v>0</v>
      </c>
      <c r="L59" s="55"/>
      <c r="M59" s="13"/>
      <c r="N59" s="13"/>
      <c r="O59" s="13"/>
      <c r="P59" s="13"/>
      <c r="Q59" s="13"/>
      <c r="R59" s="2"/>
      <c r="S59" s="2"/>
      <c r="T59" s="2"/>
      <c r="U59" s="2"/>
      <c r="V59" s="2"/>
      <c r="W59" s="2"/>
      <c r="X59" s="2"/>
      <c r="Y59" s="2"/>
      <c r="Z59" s="5"/>
      <c r="AA59" s="2"/>
      <c r="AB59" s="2"/>
      <c r="AC59" s="2"/>
      <c r="AD59" s="2"/>
      <c r="AE59" s="2"/>
      <c r="AF59" s="2"/>
      <c r="AG59" s="2"/>
    </row>
    <row r="60" spans="1:33" ht="12.75">
      <c r="A60" s="169" t="s">
        <v>105</v>
      </c>
      <c r="B60" s="170"/>
      <c r="C60" s="170"/>
      <c r="D60" s="258" t="s">
        <v>67</v>
      </c>
      <c r="E60" s="259"/>
      <c r="F60" s="260"/>
      <c r="G60" s="27" t="str">
        <f>IF(D17&gt;0,"1"," ")</f>
        <v> </v>
      </c>
      <c r="H60" s="223" t="s">
        <v>68</v>
      </c>
      <c r="I60" s="224"/>
      <c r="J60" s="225"/>
      <c r="K60" s="36" t="str">
        <f>IF(D17&gt;0,"1"," ")</f>
        <v> </v>
      </c>
      <c r="L60" s="41"/>
      <c r="M60" s="28"/>
      <c r="N60" s="28"/>
      <c r="O60" s="28"/>
      <c r="P60" s="28"/>
      <c r="Q60" s="28"/>
      <c r="R60" s="2"/>
      <c r="S60" s="2"/>
      <c r="T60" s="2"/>
      <c r="U60" s="2"/>
      <c r="V60" s="2"/>
      <c r="W60" s="2"/>
      <c r="X60" s="2"/>
      <c r="Y60" s="2"/>
      <c r="Z60" s="5"/>
      <c r="AA60" s="2"/>
      <c r="AB60" s="2"/>
      <c r="AC60" s="2"/>
      <c r="AD60" s="2"/>
      <c r="AE60" s="2"/>
      <c r="AF60" s="2"/>
      <c r="AG60" s="2"/>
    </row>
    <row r="61" spans="1:33" ht="3" customHeight="1">
      <c r="A61" s="158"/>
      <c r="B61" s="159"/>
      <c r="C61" s="159"/>
      <c r="D61" s="28"/>
      <c r="E61" s="28"/>
      <c r="F61" s="28"/>
      <c r="G61" s="29"/>
      <c r="H61" s="28"/>
      <c r="I61" s="28"/>
      <c r="J61" s="28"/>
      <c r="K61" s="28"/>
      <c r="L61" s="28"/>
      <c r="M61" s="28"/>
      <c r="N61" s="28"/>
      <c r="O61" s="28"/>
      <c r="P61" s="28"/>
      <c r="Q61" s="28"/>
      <c r="R61" s="2"/>
      <c r="S61" s="2"/>
      <c r="T61" s="2"/>
      <c r="U61" s="2"/>
      <c r="V61" s="2"/>
      <c r="W61" s="2"/>
      <c r="X61" s="2"/>
      <c r="Y61" s="2"/>
      <c r="Z61" s="5"/>
      <c r="AA61" s="2"/>
      <c r="AB61" s="2"/>
      <c r="AC61" s="2"/>
      <c r="AD61" s="2"/>
      <c r="AE61" s="2"/>
      <c r="AF61" s="2"/>
      <c r="AG61" s="2"/>
    </row>
    <row r="62" spans="1:33" ht="12.75">
      <c r="A62" s="192"/>
      <c r="B62" s="193"/>
      <c r="C62" s="194"/>
      <c r="D62" s="68" t="s">
        <v>42</v>
      </c>
      <c r="E62" s="69" t="s">
        <v>43</v>
      </c>
      <c r="F62" s="69"/>
      <c r="G62" s="69" t="s">
        <v>44</v>
      </c>
      <c r="H62" s="69" t="s">
        <v>45</v>
      </c>
      <c r="I62" s="69" t="s">
        <v>46</v>
      </c>
      <c r="J62" s="69" t="s">
        <v>47</v>
      </c>
      <c r="K62" s="69" t="s">
        <v>48</v>
      </c>
      <c r="L62" s="69" t="s">
        <v>49</v>
      </c>
      <c r="M62" s="69" t="s">
        <v>50</v>
      </c>
      <c r="N62" s="69" t="s">
        <v>51</v>
      </c>
      <c r="O62" s="69" t="s">
        <v>53</v>
      </c>
      <c r="P62" s="69" t="s">
        <v>54</v>
      </c>
      <c r="Q62" s="69" t="s">
        <v>55</v>
      </c>
      <c r="R62" s="2"/>
      <c r="S62" s="2"/>
      <c r="T62" s="2"/>
      <c r="U62" s="2"/>
      <c r="V62" s="2"/>
      <c r="W62" s="2"/>
      <c r="X62" s="2"/>
      <c r="Y62" s="2"/>
      <c r="Z62" s="5"/>
      <c r="AA62" s="2"/>
      <c r="AB62" s="2"/>
      <c r="AC62" s="2"/>
      <c r="AD62" s="2"/>
      <c r="AE62" s="2"/>
      <c r="AF62" s="2"/>
      <c r="AG62" s="2"/>
    </row>
    <row r="63" spans="1:33" ht="12.75">
      <c r="A63" s="192"/>
      <c r="B63" s="193"/>
      <c r="C63" s="194"/>
      <c r="D63" s="40" t="str">
        <f>IF(D17&gt;0,D17," ")</f>
        <v> </v>
      </c>
      <c r="E63" s="37" t="str">
        <f>IF(E17&gt;0,E17," ")</f>
        <v> </v>
      </c>
      <c r="F63" s="22"/>
      <c r="G63" s="22" t="str">
        <f>IF(D17&gt;0,$G$40," ")</f>
        <v> </v>
      </c>
      <c r="H63" s="22" t="str">
        <f>IF(D17&gt;0,IF(B17="si",$H$40," ")," ")</f>
        <v> </v>
      </c>
      <c r="I63" s="22" t="str">
        <f>IF($D$17&gt;0,$I$40," ")</f>
        <v> </v>
      </c>
      <c r="J63" s="22" t="str">
        <f>IF($D$17&gt;0,$J$40," ")</f>
        <v> </v>
      </c>
      <c r="K63" s="22" t="str">
        <f>IF($D$17&gt;0,$K$40," ")</f>
        <v> </v>
      </c>
      <c r="L63" s="22" t="str">
        <f>IF($D17&gt;0,$L$40," ")</f>
        <v> </v>
      </c>
      <c r="M63" s="22" t="str">
        <f>IF($D17&gt;0,$M$40," ")</f>
        <v> </v>
      </c>
      <c r="N63" s="22" t="str">
        <f>IF($D17&gt;0,$N$40," ")</f>
        <v> </v>
      </c>
      <c r="O63" s="22" t="str">
        <f>IF($D17&gt;0,$O$40," ")</f>
        <v> </v>
      </c>
      <c r="P63" s="22" t="str">
        <f>IF($D17&gt;0,$P$40," ")</f>
        <v> </v>
      </c>
      <c r="Q63" s="85">
        <f>IF(dper&gt;0,(DAYS360(D17,E17)+1),IF(D17&gt;0,IF(pt="si",vuota,IF($S63=vuota,$T63,$S63)),vuota))</f>
        <v>0</v>
      </c>
      <c r="R63" s="2"/>
      <c r="S63" s="3">
        <f>IF(DAYS360(D17,E17)&lt;31,30,IF(DAYS360(D17,E17)&lt;61,60,IF(DAYS360(D17,E17)&lt;91,90,IF(DAYS360(D17,E17)&lt;121,120,IF(DAYS360(D17,E17)&lt;151,150,IF(DAYS360(D17,E17)&lt;181,180,IF(DAYS360(D17,E17)&lt;211,210," ")))))))</f>
        <v>30</v>
      </c>
      <c r="T63" s="2" t="str">
        <f>IF(S63=" ",IF(DAYS360(D17,E17)&lt;241,240,IF(DAYS360(D17,E17)&lt;270,270,IF(DAYS360(D17,E17)&lt;301,300,IF(DAYS360(D17,E17)&lt;330,330,IF(DAYS360(D17,E17)&lt;361,360)))))," ")</f>
        <v> </v>
      </c>
      <c r="U63" s="2"/>
      <c r="V63" s="2"/>
      <c r="W63" s="2"/>
      <c r="X63" s="2"/>
      <c r="Y63" s="2"/>
      <c r="Z63" s="5"/>
      <c r="AA63" s="2"/>
      <c r="AB63" s="2"/>
      <c r="AC63" s="2"/>
      <c r="AD63" s="2"/>
      <c r="AE63" s="2"/>
      <c r="AF63" s="2"/>
      <c r="AG63" s="2"/>
    </row>
    <row r="64" spans="1:33" ht="1.5" customHeight="1">
      <c r="A64" s="192"/>
      <c r="B64" s="193"/>
      <c r="C64" s="194"/>
      <c r="D64" s="30"/>
      <c r="E64" s="30"/>
      <c r="F64" s="31"/>
      <c r="G64" s="31"/>
      <c r="H64" s="31"/>
      <c r="I64" s="31"/>
      <c r="J64" s="31"/>
      <c r="K64" s="31"/>
      <c r="L64" s="31"/>
      <c r="M64" s="31"/>
      <c r="N64" s="31"/>
      <c r="O64" s="31"/>
      <c r="P64" s="31"/>
      <c r="Q64" s="31"/>
      <c r="R64" s="2"/>
      <c r="S64" s="3"/>
      <c r="T64" s="2"/>
      <c r="U64" s="2"/>
      <c r="V64" s="2"/>
      <c r="W64" s="2"/>
      <c r="X64" s="2"/>
      <c r="Y64" s="2"/>
      <c r="Z64" s="5"/>
      <c r="AA64" s="2"/>
      <c r="AB64" s="2"/>
      <c r="AC64" s="2"/>
      <c r="AD64" s="2"/>
      <c r="AE64" s="2"/>
      <c r="AF64" s="2"/>
      <c r="AG64" s="2"/>
    </row>
    <row r="65" spans="1:33" ht="12.75">
      <c r="A65" s="192"/>
      <c r="B65" s="193"/>
      <c r="C65" s="194"/>
      <c r="D65" s="72" t="s">
        <v>56</v>
      </c>
      <c r="E65" s="73" t="s">
        <v>57</v>
      </c>
      <c r="F65" s="73"/>
      <c r="G65" s="73" t="s">
        <v>58</v>
      </c>
      <c r="H65" s="73" t="s">
        <v>59</v>
      </c>
      <c r="I65" s="73" t="s">
        <v>60</v>
      </c>
      <c r="J65" s="73" t="s">
        <v>61</v>
      </c>
      <c r="K65" s="73" t="s">
        <v>62</v>
      </c>
      <c r="L65" s="73" t="s">
        <v>127</v>
      </c>
      <c r="M65" s="73" t="s">
        <v>128</v>
      </c>
      <c r="N65" s="73" t="s">
        <v>63</v>
      </c>
      <c r="O65" s="73" t="s">
        <v>64</v>
      </c>
      <c r="P65" s="73" t="s">
        <v>65</v>
      </c>
      <c r="Q65" s="73" t="s">
        <v>66</v>
      </c>
      <c r="R65" s="2"/>
      <c r="S65" s="2"/>
      <c r="T65" s="2"/>
      <c r="U65" s="2"/>
      <c r="V65" s="2"/>
      <c r="W65" s="2"/>
      <c r="X65" s="2"/>
      <c r="Y65" s="2"/>
      <c r="Z65" s="5"/>
      <c r="AA65" s="2"/>
      <c r="AB65" s="2"/>
      <c r="AC65" s="2"/>
      <c r="AD65" s="2"/>
      <c r="AE65" s="2"/>
      <c r="AF65" s="2"/>
      <c r="AG65" s="2"/>
    </row>
    <row r="66" spans="1:33" ht="12.75">
      <c r="A66" s="192"/>
      <c r="B66" s="193"/>
      <c r="C66" s="194"/>
      <c r="D66" s="39">
        <f>IF(D17&gt;0,IF(F17&gt;0,F17,0),0)</f>
        <v>0</v>
      </c>
      <c r="E66" s="25">
        <f>IF(D17&gt;0,IF(H18&gt;0,F18,0),0)</f>
        <v>0</v>
      </c>
      <c r="F66" s="25"/>
      <c r="G66" s="25">
        <f>IF(G17+G18&gt;0,+D66+E66,0)</f>
        <v>0</v>
      </c>
      <c r="H66" s="25">
        <f>IF(J17+J18&gt;0,J17+J18,0)</f>
        <v>0</v>
      </c>
      <c r="I66" s="25"/>
      <c r="J66" s="25">
        <f>IF(tratt="TFS",IF(D17&gt;0,IF($B17="SI",ROUND($F$17*80%+$F18*80%,5),0),0),0)</f>
        <v>0</v>
      </c>
      <c r="K66" s="25">
        <f>IF(J66=0,0,P17+P18)</f>
        <v>0</v>
      </c>
      <c r="L66" s="25">
        <f>IF(tratt="TFS",vuota,IF($D17&gt;0,ROUND($Q66*80%,5),0))</f>
        <v>0</v>
      </c>
      <c r="M66" s="25">
        <f>IF(tratt="TFS",vuota,IF(D17&gt;0,($P17+$P18),0))</f>
        <v>0</v>
      </c>
      <c r="N66" s="25">
        <f>IF(D17&gt;0,G66,0)</f>
        <v>0</v>
      </c>
      <c r="O66" s="25">
        <f>IF(D17&gt;0,M17+M18,0)</f>
        <v>0</v>
      </c>
      <c r="P66" s="25">
        <f>IF(D17&gt;0,IF(tratt="TFS",0,F17+F18),0)</f>
        <v>0</v>
      </c>
      <c r="Q66" s="125"/>
      <c r="R66" s="2"/>
      <c r="S66" s="2"/>
      <c r="T66" s="2"/>
      <c r="U66" s="2"/>
      <c r="V66" s="2"/>
      <c r="W66" s="2"/>
      <c r="X66" s="2"/>
      <c r="Y66" s="2"/>
      <c r="Z66" s="5"/>
      <c r="AA66" s="2"/>
      <c r="AB66" s="2"/>
      <c r="AC66" s="2"/>
      <c r="AD66" s="2"/>
      <c r="AE66" s="2"/>
      <c r="AF66" s="2"/>
      <c r="AG66" s="2"/>
    </row>
    <row r="67" spans="1:33" ht="3" customHeight="1">
      <c r="A67" s="203"/>
      <c r="B67" s="204"/>
      <c r="C67" s="205"/>
      <c r="D67" s="28"/>
      <c r="E67" s="28"/>
      <c r="F67" s="28"/>
      <c r="G67" s="32"/>
      <c r="H67" s="32"/>
      <c r="I67" s="28"/>
      <c r="J67" s="32"/>
      <c r="K67" s="28"/>
      <c r="L67" s="33"/>
      <c r="M67" s="32"/>
      <c r="N67" s="32"/>
      <c r="O67" s="28"/>
      <c r="P67" s="28"/>
      <c r="Q67" s="28"/>
      <c r="R67" s="2"/>
      <c r="S67" s="2"/>
      <c r="T67" s="2"/>
      <c r="U67" s="2"/>
      <c r="V67" s="2"/>
      <c r="W67" s="2"/>
      <c r="X67" s="2"/>
      <c r="Y67" s="2"/>
      <c r="Z67" s="5"/>
      <c r="AA67" s="2"/>
      <c r="AB67" s="2"/>
      <c r="AC67" s="2"/>
      <c r="AD67" s="2"/>
      <c r="AE67" s="2"/>
      <c r="AF67" s="2"/>
      <c r="AG67" s="2"/>
    </row>
    <row r="68" spans="1:33" ht="12.75">
      <c r="A68" s="158" t="s">
        <v>81</v>
      </c>
      <c r="B68" s="159"/>
      <c r="C68" s="160"/>
      <c r="D68" s="221" t="s">
        <v>82</v>
      </c>
      <c r="E68" s="70" t="s">
        <v>83</v>
      </c>
      <c r="F68" s="73"/>
      <c r="G68" s="179" t="s">
        <v>84</v>
      </c>
      <c r="H68" s="179"/>
      <c r="I68" s="179" t="s">
        <v>85</v>
      </c>
      <c r="J68" s="179"/>
      <c r="K68" s="179" t="s">
        <v>86</v>
      </c>
      <c r="L68" s="179"/>
      <c r="M68" s="179" t="s">
        <v>87</v>
      </c>
      <c r="N68" s="179"/>
      <c r="O68" s="179" t="s">
        <v>88</v>
      </c>
      <c r="P68" s="179"/>
      <c r="Q68" s="52"/>
      <c r="R68" s="2"/>
      <c r="S68" s="2"/>
      <c r="T68" s="2"/>
      <c r="U68" s="2"/>
      <c r="V68" s="2"/>
      <c r="W68" s="2"/>
      <c r="X68" s="2"/>
      <c r="Y68" s="2"/>
      <c r="Z68" s="5"/>
      <c r="AA68" s="2"/>
      <c r="AB68" s="2"/>
      <c r="AC68" s="2"/>
      <c r="AD68" s="2"/>
      <c r="AE68" s="2"/>
      <c r="AF68" s="2"/>
      <c r="AG68" s="2"/>
    </row>
    <row r="69" spans="1:33" ht="12.75">
      <c r="A69" s="192"/>
      <c r="B69" s="193"/>
      <c r="C69" s="194"/>
      <c r="D69" s="222"/>
      <c r="E69" s="22" t="str">
        <f>IF(D17&gt;0,"1"," ")</f>
        <v> </v>
      </c>
      <c r="F69" s="21"/>
      <c r="G69" s="181" t="str">
        <f>IF(D$17&gt;0,$I$35," ")</f>
        <v> </v>
      </c>
      <c r="H69" s="181"/>
      <c r="I69" s="183" t="str">
        <f>IF(F$17+F$18&gt;0,$I$46," ")</f>
        <v> </v>
      </c>
      <c r="J69" s="181"/>
      <c r="K69" s="181"/>
      <c r="L69" s="181"/>
      <c r="M69" s="182">
        <f>IF(E69&gt;0,+N66,vuota)</f>
        <v>0</v>
      </c>
      <c r="N69" s="182"/>
      <c r="O69" s="182">
        <f>IF(M69=vuota,vuota,I17+I18)</f>
        <v>0</v>
      </c>
      <c r="P69" s="182"/>
      <c r="Q69" s="51"/>
      <c r="R69" s="2"/>
      <c r="S69" s="2"/>
      <c r="T69" s="2"/>
      <c r="U69" s="2"/>
      <c r="V69" s="2"/>
      <c r="W69" s="2"/>
      <c r="X69" s="2"/>
      <c r="Y69" s="2"/>
      <c r="Z69" s="5"/>
      <c r="AA69" s="2"/>
      <c r="AB69" s="2"/>
      <c r="AC69" s="2"/>
      <c r="AD69" s="2"/>
      <c r="AE69" s="2"/>
      <c r="AF69" s="2"/>
      <c r="AG69" s="2"/>
    </row>
    <row r="70" spans="1:33" ht="1.5" customHeight="1">
      <c r="A70" s="192"/>
      <c r="B70" s="193"/>
      <c r="C70" s="194"/>
      <c r="D70" s="26"/>
      <c r="E70" s="34"/>
      <c r="F70" s="34"/>
      <c r="G70" s="34"/>
      <c r="H70" s="34"/>
      <c r="I70" s="34"/>
      <c r="J70" s="34"/>
      <c r="K70" s="34"/>
      <c r="L70" s="34"/>
      <c r="M70" s="34"/>
      <c r="N70" s="34"/>
      <c r="O70" s="34"/>
      <c r="P70" s="34"/>
      <c r="Q70" s="34"/>
      <c r="R70" s="2"/>
      <c r="S70" s="2"/>
      <c r="T70" s="2"/>
      <c r="U70" s="2"/>
      <c r="V70" s="2"/>
      <c r="W70" s="2"/>
      <c r="X70" s="2"/>
      <c r="Y70" s="2"/>
      <c r="Z70" s="5"/>
      <c r="AA70" s="2"/>
      <c r="AB70" s="2"/>
      <c r="AC70" s="2"/>
      <c r="AD70" s="2"/>
      <c r="AE70" s="2"/>
      <c r="AF70" s="2"/>
      <c r="AG70" s="2"/>
    </row>
    <row r="71" spans="1:33" ht="12.75">
      <c r="A71" s="192"/>
      <c r="B71" s="193"/>
      <c r="C71" s="194"/>
      <c r="D71" s="221" t="s">
        <v>89</v>
      </c>
      <c r="E71" s="70" t="s">
        <v>83</v>
      </c>
      <c r="F71" s="73"/>
      <c r="G71" s="179" t="s">
        <v>84</v>
      </c>
      <c r="H71" s="179"/>
      <c r="I71" s="179" t="s">
        <v>85</v>
      </c>
      <c r="J71" s="179"/>
      <c r="K71" s="179" t="s">
        <v>86</v>
      </c>
      <c r="L71" s="179"/>
      <c r="M71" s="179" t="s">
        <v>87</v>
      </c>
      <c r="N71" s="179"/>
      <c r="O71" s="179" t="s">
        <v>88</v>
      </c>
      <c r="P71" s="179"/>
      <c r="Q71" s="52"/>
      <c r="R71" s="2"/>
      <c r="S71" s="2"/>
      <c r="T71" s="2"/>
      <c r="U71" s="2"/>
      <c r="V71" s="2"/>
      <c r="W71" s="2"/>
      <c r="X71" s="2"/>
      <c r="Y71" s="2"/>
      <c r="Z71" s="5"/>
      <c r="AA71" s="2"/>
      <c r="AB71" s="2"/>
      <c r="AC71" s="2"/>
      <c r="AD71" s="2"/>
      <c r="AE71" s="2"/>
      <c r="AF71" s="2"/>
      <c r="AG71" s="2"/>
    </row>
    <row r="72" spans="1:33" ht="12.75">
      <c r="A72" s="195"/>
      <c r="B72" s="196"/>
      <c r="C72" s="197"/>
      <c r="D72" s="222"/>
      <c r="E72" s="22" t="str">
        <f>IF(D17&gt;0,IF(B17="SI",$E$49," ")," ")</f>
        <v> </v>
      </c>
      <c r="F72" s="21"/>
      <c r="G72" s="181" t="str">
        <f>IF(E72=" "," ",$I$35)</f>
        <v> </v>
      </c>
      <c r="H72" s="181"/>
      <c r="I72" s="183" t="str">
        <f>IF(E72=" "," ",$I$46)</f>
        <v> </v>
      </c>
      <c r="J72" s="181"/>
      <c r="K72" s="181"/>
      <c r="L72" s="181"/>
      <c r="M72" s="182">
        <f>IF(tratt="TFS",+J66,+L66)</f>
        <v>0</v>
      </c>
      <c r="N72" s="182"/>
      <c r="O72" s="182">
        <f>IF(M72=vuota,vuota,O17+O18)</f>
        <v>0</v>
      </c>
      <c r="P72" s="182"/>
      <c r="Q72" s="51"/>
      <c r="R72" s="2"/>
      <c r="S72" s="2"/>
      <c r="T72" s="2"/>
      <c r="U72" s="2"/>
      <c r="V72" s="2"/>
      <c r="W72" s="2"/>
      <c r="X72" s="2"/>
      <c r="Y72" s="2"/>
      <c r="Z72" s="5"/>
      <c r="AA72" s="2"/>
      <c r="AB72" s="2"/>
      <c r="AC72" s="2"/>
      <c r="AD72" s="2"/>
      <c r="AE72" s="2"/>
      <c r="AF72" s="2"/>
      <c r="AG72" s="2"/>
    </row>
    <row r="73" spans="1:33" ht="3" customHeight="1">
      <c r="A73" s="198"/>
      <c r="B73" s="198"/>
      <c r="C73" s="198"/>
      <c r="D73" s="35"/>
      <c r="E73" s="35"/>
      <c r="F73" s="35"/>
      <c r="G73" s="35"/>
      <c r="H73" s="35"/>
      <c r="I73" s="35"/>
      <c r="J73" s="35"/>
      <c r="K73" s="35"/>
      <c r="L73" s="35"/>
      <c r="M73" s="35"/>
      <c r="N73" s="35"/>
      <c r="O73" s="35"/>
      <c r="P73" s="35"/>
      <c r="Q73" s="35"/>
      <c r="R73" s="2"/>
      <c r="S73" s="2"/>
      <c r="T73" s="2"/>
      <c r="U73" s="2"/>
      <c r="V73" s="2"/>
      <c r="W73" s="2"/>
      <c r="X73" s="2"/>
      <c r="Y73" s="2"/>
      <c r="Z73" s="5"/>
      <c r="AA73" s="2"/>
      <c r="AB73" s="2"/>
      <c r="AC73" s="2"/>
      <c r="AD73" s="2"/>
      <c r="AE73" s="2"/>
      <c r="AF73" s="2"/>
      <c r="AG73" s="2"/>
    </row>
    <row r="74" spans="1:33" ht="12.75">
      <c r="A74" s="200" t="s">
        <v>106</v>
      </c>
      <c r="B74" s="201"/>
      <c r="C74" s="202"/>
      <c r="D74" s="28"/>
      <c r="E74" s="28"/>
      <c r="F74" s="28"/>
      <c r="G74" s="28"/>
      <c r="H74" s="28"/>
      <c r="I74" s="28"/>
      <c r="J74" s="28"/>
      <c r="K74" s="28"/>
      <c r="L74" s="28"/>
      <c r="M74" s="28"/>
      <c r="N74" s="28"/>
      <c r="O74" s="28"/>
      <c r="P74" s="28"/>
      <c r="Q74" s="28"/>
      <c r="R74" s="2"/>
      <c r="S74" s="2"/>
      <c r="T74" s="2"/>
      <c r="U74" s="2"/>
      <c r="V74" s="2"/>
      <c r="W74" s="2"/>
      <c r="X74" s="2"/>
      <c r="Y74" s="2"/>
      <c r="Z74" s="5"/>
      <c r="AA74" s="2"/>
      <c r="AB74" s="2"/>
      <c r="AC74" s="2"/>
      <c r="AD74" s="2"/>
      <c r="AE74" s="2"/>
      <c r="AF74" s="2"/>
      <c r="AG74" s="2"/>
    </row>
    <row r="75" spans="1:33" ht="12.75">
      <c r="A75" s="169" t="s">
        <v>105</v>
      </c>
      <c r="B75" s="170"/>
      <c r="C75" s="170"/>
      <c r="D75" s="258" t="s">
        <v>67</v>
      </c>
      <c r="E75" s="259"/>
      <c r="F75" s="260"/>
      <c r="G75" s="27" t="str">
        <f>IF(D19&gt;0,"1"," ")</f>
        <v> </v>
      </c>
      <c r="H75" s="223" t="s">
        <v>68</v>
      </c>
      <c r="I75" s="224"/>
      <c r="J75" s="225"/>
      <c r="K75" s="36" t="str">
        <f>IF(D19&gt;0,"1"," ")</f>
        <v> </v>
      </c>
      <c r="L75" s="28"/>
      <c r="M75" s="28"/>
      <c r="N75" s="28"/>
      <c r="O75" s="28"/>
      <c r="P75" s="28"/>
      <c r="Q75" s="28"/>
      <c r="R75" s="2"/>
      <c r="S75" s="2"/>
      <c r="T75" s="2"/>
      <c r="U75" s="2"/>
      <c r="V75" s="2"/>
      <c r="W75" s="2"/>
      <c r="X75" s="2"/>
      <c r="Y75" s="2"/>
      <c r="Z75" s="5"/>
      <c r="AA75" s="2"/>
      <c r="AB75" s="2"/>
      <c r="AC75" s="2"/>
      <c r="AD75" s="2"/>
      <c r="AE75" s="2"/>
      <c r="AF75" s="2"/>
      <c r="AG75" s="2"/>
    </row>
    <row r="76" spans="1:33" ht="3" customHeight="1">
      <c r="A76" s="158"/>
      <c r="B76" s="159"/>
      <c r="C76" s="159"/>
      <c r="D76" s="28"/>
      <c r="E76" s="28"/>
      <c r="F76" s="28"/>
      <c r="G76" s="28"/>
      <c r="H76" s="28"/>
      <c r="I76" s="28"/>
      <c r="J76" s="28"/>
      <c r="K76" s="28"/>
      <c r="L76" s="28"/>
      <c r="M76" s="28"/>
      <c r="N76" s="28"/>
      <c r="O76" s="28"/>
      <c r="P76" s="28"/>
      <c r="Q76" s="28"/>
      <c r="R76" s="2"/>
      <c r="S76" s="2"/>
      <c r="T76" s="2"/>
      <c r="U76" s="2"/>
      <c r="V76" s="2"/>
      <c r="W76" s="2"/>
      <c r="X76" s="2"/>
      <c r="Y76" s="2"/>
      <c r="Z76" s="5"/>
      <c r="AA76" s="2"/>
      <c r="AB76" s="2"/>
      <c r="AC76" s="2"/>
      <c r="AD76" s="2"/>
      <c r="AE76" s="2"/>
      <c r="AF76" s="2"/>
      <c r="AG76" s="2"/>
    </row>
    <row r="77" spans="1:33" ht="12.75">
      <c r="A77" s="192"/>
      <c r="B77" s="193"/>
      <c r="C77" s="194"/>
      <c r="D77" s="72" t="s">
        <v>42</v>
      </c>
      <c r="E77" s="73" t="s">
        <v>43</v>
      </c>
      <c r="F77" s="73"/>
      <c r="G77" s="73" t="s">
        <v>44</v>
      </c>
      <c r="H77" s="73" t="s">
        <v>45</v>
      </c>
      <c r="I77" s="73" t="s">
        <v>46</v>
      </c>
      <c r="J77" s="73" t="s">
        <v>47</v>
      </c>
      <c r="K77" s="73" t="s">
        <v>48</v>
      </c>
      <c r="L77" s="73" t="s">
        <v>49</v>
      </c>
      <c r="M77" s="73" t="s">
        <v>50</v>
      </c>
      <c r="N77" s="73" t="s">
        <v>51</v>
      </c>
      <c r="O77" s="73" t="s">
        <v>53</v>
      </c>
      <c r="P77" s="73" t="s">
        <v>54</v>
      </c>
      <c r="Q77" s="73" t="s">
        <v>55</v>
      </c>
      <c r="R77" s="2"/>
      <c r="S77" s="2"/>
      <c r="T77" s="2"/>
      <c r="U77" s="2"/>
      <c r="V77" s="2"/>
      <c r="W77" s="2"/>
      <c r="X77" s="2"/>
      <c r="Y77" s="2"/>
      <c r="Z77" s="5"/>
      <c r="AA77" s="2"/>
      <c r="AB77" s="2"/>
      <c r="AC77" s="2"/>
      <c r="AD77" s="2"/>
      <c r="AE77" s="2"/>
      <c r="AF77" s="2"/>
      <c r="AG77" s="2"/>
    </row>
    <row r="78" spans="1:33" ht="12.75">
      <c r="A78" s="192"/>
      <c r="B78" s="193"/>
      <c r="C78" s="194"/>
      <c r="D78" s="40" t="str">
        <f>IF(D19&gt;0,D19," ")</f>
        <v> </v>
      </c>
      <c r="E78" s="37" t="str">
        <f>IF(E19&gt;0,E19," ")</f>
        <v> </v>
      </c>
      <c r="F78" s="22"/>
      <c r="G78" s="22" t="str">
        <f>IF(D19&gt;0,$G$40," ")</f>
        <v> </v>
      </c>
      <c r="H78" s="22" t="str">
        <f>IF(D19&gt;0,IF(B19="si",$H$40," ")," ")</f>
        <v> </v>
      </c>
      <c r="I78" s="22" t="str">
        <f>IF($D19&gt;0,$I$40," ")</f>
        <v> </v>
      </c>
      <c r="J78" s="22" t="str">
        <f>IF($D19&gt;0,$J$40," ")</f>
        <v> </v>
      </c>
      <c r="K78" s="22" t="str">
        <f>IF($D19&gt;0,$K$40," ")</f>
        <v> </v>
      </c>
      <c r="L78" s="22" t="str">
        <f>IF($D19&gt;0,$L$40," ")</f>
        <v> </v>
      </c>
      <c r="M78" s="22" t="str">
        <f>IF($D19&gt;0,$M$40," ")</f>
        <v> </v>
      </c>
      <c r="N78" s="22" t="str">
        <f>IF($D19&gt;0,$N$40," ")</f>
        <v> </v>
      </c>
      <c r="O78" s="22" t="str">
        <f>IF($D19&gt;0,$O$40," ")</f>
        <v> </v>
      </c>
      <c r="P78" s="22" t="str">
        <f>IF($D19&gt;0,$P$40," ")</f>
        <v> </v>
      </c>
      <c r="Q78" s="85">
        <f>IF(dper&gt;0,(DAYS360(D19,E19)+1),IF(D19&gt;0,IF($J$5="si"," ",IF($S78=" ",$T78,$S78)),vuota))</f>
        <v>0</v>
      </c>
      <c r="R78" s="2"/>
      <c r="S78" s="3">
        <f>IF(DAYS360(D19,E19)&lt;31,30,IF(DAYS360(D19,E19)&lt;61,60,IF(DAYS360(D19,E19)&lt;91,90,IF(DAYS360(D19,E19)&lt;121,120,IF(DAYS360(D19,E19)&lt;151,150,IF(DAYS360(D19,E19)&lt;181,180,IF(DAYS360(D19,E19)&lt;211,210," ")))))))</f>
        <v>30</v>
      </c>
      <c r="T78" s="2" t="str">
        <f>IF(S78=" ",IF(DAYS360(D19,E19)&lt;241,240,IF(DAYS360(D19,E19)&lt;270,270,IF(DAYS360(D19,E19)&lt;301,300,IF(DAYS360(D19,E19)&lt;330,330,IF(DAYS360(D19,E19)&lt;361,360)))))," ")</f>
        <v> </v>
      </c>
      <c r="U78" s="2"/>
      <c r="V78" s="2"/>
      <c r="W78" s="2"/>
      <c r="X78" s="2"/>
      <c r="Y78" s="2"/>
      <c r="Z78" s="5"/>
      <c r="AA78" s="2"/>
      <c r="AB78" s="2"/>
      <c r="AC78" s="2"/>
      <c r="AD78" s="2"/>
      <c r="AE78" s="2"/>
      <c r="AF78" s="2"/>
      <c r="AG78" s="2"/>
    </row>
    <row r="79" spans="1:33" ht="1.5" customHeight="1">
      <c r="A79" s="192"/>
      <c r="B79" s="193"/>
      <c r="C79" s="194"/>
      <c r="D79" s="34"/>
      <c r="E79" s="34"/>
      <c r="F79" s="34"/>
      <c r="G79" s="34"/>
      <c r="H79" s="34"/>
      <c r="I79" s="34"/>
      <c r="J79" s="34"/>
      <c r="K79" s="34"/>
      <c r="L79" s="34"/>
      <c r="M79" s="34"/>
      <c r="N79" s="34"/>
      <c r="O79" s="34"/>
      <c r="P79" s="34"/>
      <c r="Q79" s="34"/>
      <c r="R79" s="2"/>
      <c r="S79" s="2"/>
      <c r="T79" s="2"/>
      <c r="U79" s="2"/>
      <c r="V79" s="2"/>
      <c r="W79" s="2"/>
      <c r="X79" s="2"/>
      <c r="Y79" s="2"/>
      <c r="Z79" s="5"/>
      <c r="AA79" s="2"/>
      <c r="AB79" s="2"/>
      <c r="AC79" s="2"/>
      <c r="AD79" s="2"/>
      <c r="AE79" s="2"/>
      <c r="AF79" s="2"/>
      <c r="AG79" s="2"/>
    </row>
    <row r="80" spans="1:33" ht="12.75">
      <c r="A80" s="192"/>
      <c r="B80" s="193"/>
      <c r="C80" s="194"/>
      <c r="D80" s="72" t="s">
        <v>56</v>
      </c>
      <c r="E80" s="73" t="s">
        <v>57</v>
      </c>
      <c r="F80" s="73"/>
      <c r="G80" s="73" t="s">
        <v>58</v>
      </c>
      <c r="H80" s="73" t="s">
        <v>59</v>
      </c>
      <c r="I80" s="73" t="s">
        <v>60</v>
      </c>
      <c r="J80" s="73" t="s">
        <v>61</v>
      </c>
      <c r="K80" s="73" t="s">
        <v>62</v>
      </c>
      <c r="L80" s="74" t="s">
        <v>127</v>
      </c>
      <c r="M80" s="74" t="s">
        <v>128</v>
      </c>
      <c r="N80" s="73" t="s">
        <v>63</v>
      </c>
      <c r="O80" s="73" t="s">
        <v>64</v>
      </c>
      <c r="P80" s="73" t="s">
        <v>65</v>
      </c>
      <c r="Q80" s="73" t="s">
        <v>66</v>
      </c>
      <c r="R80" s="2"/>
      <c r="S80" s="2"/>
      <c r="T80" s="2"/>
      <c r="U80" s="2"/>
      <c r="V80" s="2"/>
      <c r="W80" s="2"/>
      <c r="X80" s="2"/>
      <c r="Y80" s="2"/>
      <c r="Z80" s="5"/>
      <c r="AA80" s="2"/>
      <c r="AB80" s="2"/>
      <c r="AC80" s="2"/>
      <c r="AD80" s="2"/>
      <c r="AE80" s="2"/>
      <c r="AF80" s="2"/>
      <c r="AG80" s="2"/>
    </row>
    <row r="81" spans="1:33" ht="12.75">
      <c r="A81" s="192"/>
      <c r="B81" s="193"/>
      <c r="C81" s="194"/>
      <c r="D81" s="39">
        <f>IF(D19&gt;0,IF(G19&gt;0,F19,0),0)</f>
        <v>0</v>
      </c>
      <c r="E81" s="25">
        <f>IF(D19&gt;0,IF(H20&gt;0,F20,0),0)</f>
        <v>0</v>
      </c>
      <c r="F81" s="25"/>
      <c r="G81" s="25">
        <f>IF(G19+G20&gt;0,+D81+E81,0)</f>
        <v>0</v>
      </c>
      <c r="H81" s="25">
        <f>IF(J19+J20&gt;0,J19+J20,0)</f>
        <v>0</v>
      </c>
      <c r="I81" s="25" t="str">
        <f>IF($Q$20&gt;0,$Q$20,vuota)</f>
        <v> </v>
      </c>
      <c r="J81" s="25">
        <f>IF(tratt="TFS",IF(D19&gt;0,IF($B19="SI",ROUND($F$19*80%+$F$20*80%,5),0),0),0)</f>
        <v>0</v>
      </c>
      <c r="K81" s="25">
        <f>IF(J81=0,0,P19+P20)</f>
        <v>0</v>
      </c>
      <c r="L81" s="25">
        <f>IF(tratt="TFS",vuota,IF($D19&gt;0,ROUND($Q81*80%,5),0))</f>
        <v>0</v>
      </c>
      <c r="M81" s="25">
        <f>IF(tratt="TFS",vuota,($P19+$P20))</f>
        <v>0</v>
      </c>
      <c r="N81" s="25">
        <f>IF(D19&gt;0,G81,0)</f>
        <v>0</v>
      </c>
      <c r="O81" s="25">
        <f>IF(D19&gt;0,M19+M20,0)</f>
        <v>0</v>
      </c>
      <c r="P81" s="25">
        <f>IF(D19&gt;0,IF(tratt="TFS",0,F19+F20),0)</f>
        <v>0</v>
      </c>
      <c r="Q81" s="125"/>
      <c r="R81" s="2"/>
      <c r="S81" s="2"/>
      <c r="T81" s="2"/>
      <c r="U81" s="2"/>
      <c r="V81" s="2"/>
      <c r="W81" s="2"/>
      <c r="X81" s="2"/>
      <c r="Y81" s="2"/>
      <c r="Z81" s="5"/>
      <c r="AA81" s="2"/>
      <c r="AB81" s="2"/>
      <c r="AC81" s="2"/>
      <c r="AD81" s="2"/>
      <c r="AE81" s="2"/>
      <c r="AF81" s="2"/>
      <c r="AG81" s="2"/>
    </row>
    <row r="82" spans="1:33" ht="3" customHeight="1">
      <c r="A82" s="203"/>
      <c r="B82" s="204"/>
      <c r="C82" s="205"/>
      <c r="D82" s="28"/>
      <c r="E82" s="28"/>
      <c r="F82" s="28"/>
      <c r="G82" s="28"/>
      <c r="H82" s="28"/>
      <c r="I82" s="28"/>
      <c r="J82" s="28"/>
      <c r="K82" s="28"/>
      <c r="L82" s="28"/>
      <c r="M82" s="28"/>
      <c r="N82" s="28"/>
      <c r="O82" s="28"/>
      <c r="P82" s="28"/>
      <c r="Q82" s="28"/>
      <c r="R82" s="2"/>
      <c r="S82" s="2"/>
      <c r="T82" s="2"/>
      <c r="U82" s="2"/>
      <c r="V82" s="2"/>
      <c r="W82" s="2"/>
      <c r="X82" s="2"/>
      <c r="Y82" s="2"/>
      <c r="Z82" s="5"/>
      <c r="AA82" s="2"/>
      <c r="AB82" s="2"/>
      <c r="AC82" s="2"/>
      <c r="AD82" s="2"/>
      <c r="AE82" s="2"/>
      <c r="AF82" s="2"/>
      <c r="AG82" s="2"/>
    </row>
    <row r="83" spans="1:33" ht="12.75">
      <c r="A83" s="158" t="s">
        <v>81</v>
      </c>
      <c r="B83" s="159"/>
      <c r="C83" s="160"/>
      <c r="D83" s="221" t="s">
        <v>82</v>
      </c>
      <c r="E83" s="70" t="s">
        <v>83</v>
      </c>
      <c r="F83" s="73"/>
      <c r="G83" s="179" t="s">
        <v>84</v>
      </c>
      <c r="H83" s="179"/>
      <c r="I83" s="179" t="s">
        <v>85</v>
      </c>
      <c r="J83" s="179"/>
      <c r="K83" s="179" t="s">
        <v>86</v>
      </c>
      <c r="L83" s="179"/>
      <c r="M83" s="179" t="s">
        <v>87</v>
      </c>
      <c r="N83" s="179"/>
      <c r="O83" s="179" t="s">
        <v>88</v>
      </c>
      <c r="P83" s="179"/>
      <c r="Q83" s="52"/>
      <c r="R83" s="2"/>
      <c r="S83" s="2"/>
      <c r="T83" s="2"/>
      <c r="U83" s="2"/>
      <c r="V83" s="2"/>
      <c r="W83" s="2"/>
      <c r="X83" s="2"/>
      <c r="Y83" s="2"/>
      <c r="Z83" s="5"/>
      <c r="AA83" s="2"/>
      <c r="AB83" s="2"/>
      <c r="AC83" s="2"/>
      <c r="AD83" s="2"/>
      <c r="AE83" s="2"/>
      <c r="AF83" s="2"/>
      <c r="AG83" s="2"/>
    </row>
    <row r="84" spans="1:33" ht="12.75">
      <c r="A84" s="192"/>
      <c r="B84" s="193"/>
      <c r="C84" s="194"/>
      <c r="D84" s="222"/>
      <c r="E84" s="22" t="str">
        <f>IF(D19+D20&gt;0,"1"," ")</f>
        <v> </v>
      </c>
      <c r="F84" s="21"/>
      <c r="G84" s="181" t="str">
        <f>IF(D19+D20&gt;0,$I$35," ")</f>
        <v> </v>
      </c>
      <c r="H84" s="181"/>
      <c r="I84" s="183" t="str">
        <f>IF(F19+F20&gt;0,$I$46," ")</f>
        <v> </v>
      </c>
      <c r="J84" s="181"/>
      <c r="K84" s="181"/>
      <c r="L84" s="181"/>
      <c r="M84" s="182">
        <f>IF(E84&gt;0,+N81,vuota)</f>
        <v>0</v>
      </c>
      <c r="N84" s="182"/>
      <c r="O84" s="182">
        <f>IF(M84=vuota,vuota,I19+I20)</f>
        <v>0</v>
      </c>
      <c r="P84" s="182"/>
      <c r="Q84" s="51"/>
      <c r="R84" s="2"/>
      <c r="S84" s="2"/>
      <c r="T84" s="2"/>
      <c r="U84" s="2"/>
      <c r="V84" s="2"/>
      <c r="W84" s="2"/>
      <c r="X84" s="2"/>
      <c r="Y84" s="2"/>
      <c r="Z84" s="5"/>
      <c r="AA84" s="2"/>
      <c r="AB84" s="2"/>
      <c r="AC84" s="2"/>
      <c r="AD84" s="2"/>
      <c r="AE84" s="2"/>
      <c r="AF84" s="2"/>
      <c r="AG84" s="2"/>
    </row>
    <row r="85" spans="1:33" ht="1.5" customHeight="1">
      <c r="A85" s="192"/>
      <c r="B85" s="193"/>
      <c r="C85" s="194"/>
      <c r="D85" s="26"/>
      <c r="E85" s="34"/>
      <c r="F85" s="34"/>
      <c r="G85" s="34"/>
      <c r="H85" s="34"/>
      <c r="I85" s="34"/>
      <c r="J85" s="34"/>
      <c r="K85" s="34"/>
      <c r="L85" s="34"/>
      <c r="M85" s="34"/>
      <c r="N85" s="34"/>
      <c r="O85" s="34"/>
      <c r="P85" s="34"/>
      <c r="Q85" s="34"/>
      <c r="R85" s="2"/>
      <c r="S85" s="2"/>
      <c r="T85" s="2"/>
      <c r="U85" s="2"/>
      <c r="V85" s="2"/>
      <c r="W85" s="2"/>
      <c r="X85" s="2"/>
      <c r="Y85" s="2"/>
      <c r="Z85" s="5"/>
      <c r="AA85" s="2"/>
      <c r="AB85" s="2"/>
      <c r="AC85" s="2"/>
      <c r="AD85" s="2"/>
      <c r="AE85" s="2"/>
      <c r="AF85" s="2"/>
      <c r="AG85" s="2"/>
    </row>
    <row r="86" spans="1:33" ht="12.75">
      <c r="A86" s="192"/>
      <c r="B86" s="193"/>
      <c r="C86" s="194"/>
      <c r="D86" s="221" t="s">
        <v>89</v>
      </c>
      <c r="E86" s="70" t="s">
        <v>83</v>
      </c>
      <c r="F86" s="73"/>
      <c r="G86" s="179" t="s">
        <v>84</v>
      </c>
      <c r="H86" s="179"/>
      <c r="I86" s="179" t="s">
        <v>85</v>
      </c>
      <c r="J86" s="179"/>
      <c r="K86" s="179" t="s">
        <v>86</v>
      </c>
      <c r="L86" s="179"/>
      <c r="M86" s="179" t="s">
        <v>87</v>
      </c>
      <c r="N86" s="179"/>
      <c r="O86" s="179" t="s">
        <v>88</v>
      </c>
      <c r="P86" s="179"/>
      <c r="Q86" s="50"/>
      <c r="R86" s="2"/>
      <c r="S86" s="2"/>
      <c r="T86" s="2"/>
      <c r="U86" s="2"/>
      <c r="V86" s="2"/>
      <c r="W86" s="2"/>
      <c r="X86" s="2"/>
      <c r="Y86" s="2"/>
      <c r="Z86" s="5"/>
      <c r="AA86" s="2"/>
      <c r="AB86" s="2"/>
      <c r="AC86" s="2"/>
      <c r="AD86" s="2"/>
      <c r="AE86" s="2"/>
      <c r="AF86" s="2"/>
      <c r="AG86" s="2"/>
    </row>
    <row r="87" spans="1:33" ht="12.75">
      <c r="A87" s="195"/>
      <c r="B87" s="196"/>
      <c r="C87" s="197"/>
      <c r="D87" s="222"/>
      <c r="E87" s="22" t="str">
        <f>IF(D19+D20&gt;0,IF(B19="SI",$E$49," ")," ")</f>
        <v> </v>
      </c>
      <c r="F87" s="21"/>
      <c r="G87" s="181" t="str">
        <f>IF(E87=" "," ",$I$35)</f>
        <v> </v>
      </c>
      <c r="H87" s="181"/>
      <c r="I87" s="183" t="str">
        <f>IF(E87=" "," ",$I$46)</f>
        <v> </v>
      </c>
      <c r="J87" s="181"/>
      <c r="K87" s="181"/>
      <c r="L87" s="181"/>
      <c r="M87" s="182">
        <f>IF(tratt="TFS",+J81,+L81)</f>
        <v>0</v>
      </c>
      <c r="N87" s="182"/>
      <c r="O87" s="182">
        <f>IF(M87=vuota,vuota,O19+O20)</f>
        <v>0</v>
      </c>
      <c r="P87" s="182"/>
      <c r="Q87" s="51"/>
      <c r="R87" s="2"/>
      <c r="S87" s="2"/>
      <c r="T87" s="2"/>
      <c r="U87" s="2"/>
      <c r="V87" s="2"/>
      <c r="W87" s="2"/>
      <c r="X87" s="2"/>
      <c r="Y87" s="2"/>
      <c r="Z87" s="5"/>
      <c r="AA87" s="2"/>
      <c r="AB87" s="2"/>
      <c r="AC87" s="2"/>
      <c r="AD87" s="2"/>
      <c r="AE87" s="2"/>
      <c r="AF87" s="2"/>
      <c r="AG87" s="2"/>
    </row>
    <row r="88" spans="1:33" ht="3" customHeight="1">
      <c r="A88" s="11"/>
      <c r="B88" s="11"/>
      <c r="C88" s="11"/>
      <c r="D88" s="35"/>
      <c r="E88" s="35"/>
      <c r="F88" s="35"/>
      <c r="G88" s="35"/>
      <c r="H88" s="35"/>
      <c r="I88" s="35"/>
      <c r="J88" s="35"/>
      <c r="K88" s="35"/>
      <c r="L88" s="35"/>
      <c r="M88" s="35"/>
      <c r="N88" s="35"/>
      <c r="O88" s="35"/>
      <c r="P88" s="35"/>
      <c r="Q88" s="35"/>
      <c r="R88" s="2"/>
      <c r="S88" s="2"/>
      <c r="T88" s="2"/>
      <c r="U88" s="2"/>
      <c r="V88" s="2"/>
      <c r="W88" s="2"/>
      <c r="X88" s="2"/>
      <c r="Y88" s="2"/>
      <c r="Z88" s="5"/>
      <c r="AA88" s="2"/>
      <c r="AB88" s="2"/>
      <c r="AC88" s="2"/>
      <c r="AD88" s="2"/>
      <c r="AE88" s="2"/>
      <c r="AF88" s="2"/>
      <c r="AG88" s="2"/>
    </row>
    <row r="89" spans="1:33" ht="12.75">
      <c r="A89" s="14"/>
      <c r="B89" s="14"/>
      <c r="C89" s="14"/>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2.75">
      <c r="A90" s="14"/>
      <c r="B90" s="14"/>
      <c r="C90" s="1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sheetData>
  <sheetProtection password="9E19" sheet="1" objects="1" scenarios="1"/>
  <mergeCells count="209">
    <mergeCell ref="A44:C44"/>
    <mergeCell ref="D36:F36"/>
    <mergeCell ref="A42:C42"/>
    <mergeCell ref="A43:C43"/>
    <mergeCell ref="A40:C41"/>
    <mergeCell ref="A39:C39"/>
    <mergeCell ref="A28:E28"/>
    <mergeCell ref="A26:H26"/>
    <mergeCell ref="A29:E29"/>
    <mergeCell ref="A30:E30"/>
    <mergeCell ref="B19:B20"/>
    <mergeCell ref="U39:V39"/>
    <mergeCell ref="K25:N25"/>
    <mergeCell ref="V16:V18"/>
    <mergeCell ref="K35:L35"/>
    <mergeCell ref="K38:L38"/>
    <mergeCell ref="H24:M24"/>
    <mergeCell ref="Q17:Q18"/>
    <mergeCell ref="L12:L20"/>
    <mergeCell ref="J22:Q22"/>
    <mergeCell ref="X16:X18"/>
    <mergeCell ref="Y16:Y18"/>
    <mergeCell ref="V9:V11"/>
    <mergeCell ref="W9:W11"/>
    <mergeCell ref="X9:X11"/>
    <mergeCell ref="Y9:Y11"/>
    <mergeCell ref="W16:W18"/>
    <mergeCell ref="G46:H46"/>
    <mergeCell ref="D75:F75"/>
    <mergeCell ref="E59:G59"/>
    <mergeCell ref="G69:H69"/>
    <mergeCell ref="D60:F60"/>
    <mergeCell ref="D48:D49"/>
    <mergeCell ref="H59:I59"/>
    <mergeCell ref="D45:D46"/>
    <mergeCell ref="I69:J69"/>
    <mergeCell ref="G45:H45"/>
    <mergeCell ref="A3:Q3"/>
    <mergeCell ref="G4:H4"/>
    <mergeCell ref="I4:J4"/>
    <mergeCell ref="G28:H28"/>
    <mergeCell ref="P9:P11"/>
    <mergeCell ref="Q8:Q15"/>
    <mergeCell ref="N9:N11"/>
    <mergeCell ref="I9:I11"/>
    <mergeCell ref="N8:P8"/>
    <mergeCell ref="I23:J23"/>
    <mergeCell ref="I35:J35"/>
    <mergeCell ref="A4:D4"/>
    <mergeCell ref="L4:N4"/>
    <mergeCell ref="G29:H29"/>
    <mergeCell ref="G30:H30"/>
    <mergeCell ref="C17:C18"/>
    <mergeCell ref="C19:C20"/>
    <mergeCell ref="B23:C23"/>
    <mergeCell ref="B17:B18"/>
    <mergeCell ref="M6:N6"/>
    <mergeCell ref="E5:E6"/>
    <mergeCell ref="G5:I5"/>
    <mergeCell ref="A5:D6"/>
    <mergeCell ref="D8:E8"/>
    <mergeCell ref="B8:B11"/>
    <mergeCell ref="G6:J6"/>
    <mergeCell ref="H9:H11"/>
    <mergeCell ref="A7:Q7"/>
    <mergeCell ref="F8:F11"/>
    <mergeCell ref="P5:Q6"/>
    <mergeCell ref="A8:A11"/>
    <mergeCell ref="C8:C16"/>
    <mergeCell ref="J9:J11"/>
    <mergeCell ref="K8:M8"/>
    <mergeCell ref="K9:K11"/>
    <mergeCell ref="L9:L11"/>
    <mergeCell ref="D17:D18"/>
    <mergeCell ref="E17:E18"/>
    <mergeCell ref="D19:D20"/>
    <mergeCell ref="E19:E20"/>
    <mergeCell ref="K45:L45"/>
    <mergeCell ref="M45:N45"/>
    <mergeCell ref="O45:P45"/>
    <mergeCell ref="N35:O35"/>
    <mergeCell ref="H60:J60"/>
    <mergeCell ref="G68:H68"/>
    <mergeCell ref="I68:J68"/>
    <mergeCell ref="O48:P48"/>
    <mergeCell ref="O49:P49"/>
    <mergeCell ref="G48:H48"/>
    <mergeCell ref="I48:J48"/>
    <mergeCell ref="K48:L48"/>
    <mergeCell ref="M48:N48"/>
    <mergeCell ref="G49:H49"/>
    <mergeCell ref="K71:L71"/>
    <mergeCell ref="M68:N68"/>
    <mergeCell ref="O68:P68"/>
    <mergeCell ref="O69:P69"/>
    <mergeCell ref="M71:N71"/>
    <mergeCell ref="O71:P71"/>
    <mergeCell ref="K68:L68"/>
    <mergeCell ref="K69:L69"/>
    <mergeCell ref="M69:N69"/>
    <mergeCell ref="K72:L72"/>
    <mergeCell ref="M72:N72"/>
    <mergeCell ref="O72:P72"/>
    <mergeCell ref="I83:J83"/>
    <mergeCell ref="K83:L83"/>
    <mergeCell ref="M83:N83"/>
    <mergeCell ref="O83:P83"/>
    <mergeCell ref="H75:J75"/>
    <mergeCell ref="M87:N87"/>
    <mergeCell ref="O84:P84"/>
    <mergeCell ref="K84:L84"/>
    <mergeCell ref="M84:N84"/>
    <mergeCell ref="O87:P87"/>
    <mergeCell ref="M86:N86"/>
    <mergeCell ref="O86:P86"/>
    <mergeCell ref="D86:D87"/>
    <mergeCell ref="G86:H86"/>
    <mergeCell ref="I86:J86"/>
    <mergeCell ref="K86:L86"/>
    <mergeCell ref="K87:L87"/>
    <mergeCell ref="G87:H87"/>
    <mergeCell ref="I87:J87"/>
    <mergeCell ref="I84:J84"/>
    <mergeCell ref="D71:D72"/>
    <mergeCell ref="D68:D69"/>
    <mergeCell ref="D83:D84"/>
    <mergeCell ref="G84:H84"/>
    <mergeCell ref="G72:H72"/>
    <mergeCell ref="I72:J72"/>
    <mergeCell ref="G71:H71"/>
    <mergeCell ref="G83:H83"/>
    <mergeCell ref="I71:J71"/>
    <mergeCell ref="A22:H22"/>
    <mergeCell ref="A35:C35"/>
    <mergeCell ref="A36:C36"/>
    <mergeCell ref="A38:C38"/>
    <mergeCell ref="A34:H34"/>
    <mergeCell ref="D23:G23"/>
    <mergeCell ref="A24:F24"/>
    <mergeCell ref="A25:I25"/>
    <mergeCell ref="G27:H27"/>
    <mergeCell ref="A27:E27"/>
    <mergeCell ref="A45:C45"/>
    <mergeCell ref="A46:C47"/>
    <mergeCell ref="A48:C48"/>
    <mergeCell ref="A68:C68"/>
    <mergeCell ref="A51:C51"/>
    <mergeCell ref="A50:C50"/>
    <mergeCell ref="A69:C72"/>
    <mergeCell ref="A49:C49"/>
    <mergeCell ref="A59:C59"/>
    <mergeCell ref="A60:C61"/>
    <mergeCell ref="A58:C58"/>
    <mergeCell ref="A54:C54"/>
    <mergeCell ref="A55:C55"/>
    <mergeCell ref="A83:C83"/>
    <mergeCell ref="A84:C87"/>
    <mergeCell ref="A73:C73"/>
    <mergeCell ref="A37:C37"/>
    <mergeCell ref="A74:C74"/>
    <mergeCell ref="A75:C76"/>
    <mergeCell ref="A77:C81"/>
    <mergeCell ref="A82:C82"/>
    <mergeCell ref="A62:C66"/>
    <mergeCell ref="A67:C67"/>
    <mergeCell ref="M1:Q2"/>
    <mergeCell ref="A1:L1"/>
    <mergeCell ref="A2:L2"/>
    <mergeCell ref="D9:D11"/>
    <mergeCell ref="E9:E11"/>
    <mergeCell ref="M5:N5"/>
    <mergeCell ref="G8:G11"/>
    <mergeCell ref="H8:J8"/>
    <mergeCell ref="M9:M11"/>
    <mergeCell ref="O9:O11"/>
    <mergeCell ref="M28:O28"/>
    <mergeCell ref="K51:L51"/>
    <mergeCell ref="P28:Q28"/>
    <mergeCell ref="P29:Q29"/>
    <mergeCell ref="P30:Q30"/>
    <mergeCell ref="P31:Q31"/>
    <mergeCell ref="K28:L28"/>
    <mergeCell ref="K29:L29"/>
    <mergeCell ref="K30:L30"/>
    <mergeCell ref="K49:L49"/>
    <mergeCell ref="M29:O29"/>
    <mergeCell ref="M30:O30"/>
    <mergeCell ref="M31:O31"/>
    <mergeCell ref="M32:O32"/>
    <mergeCell ref="P32:Q32"/>
    <mergeCell ref="D52:E52"/>
    <mergeCell ref="M52:N52"/>
    <mergeCell ref="P33:Q33"/>
    <mergeCell ref="I49:J49"/>
    <mergeCell ref="M49:N49"/>
    <mergeCell ref="O46:P46"/>
    <mergeCell ref="K46:L46"/>
    <mergeCell ref="M46:N46"/>
    <mergeCell ref="I46:J46"/>
    <mergeCell ref="D56:E56"/>
    <mergeCell ref="M56:N56"/>
    <mergeCell ref="M57:N57"/>
    <mergeCell ref="J31:L31"/>
    <mergeCell ref="J32:L32"/>
    <mergeCell ref="J33:K33"/>
    <mergeCell ref="M33:O33"/>
    <mergeCell ref="K55:L55"/>
    <mergeCell ref="M53:N53"/>
    <mergeCell ref="I45:J45"/>
  </mergeCells>
  <conditionalFormatting sqref="K38:L38 K51:L51 K55:L55">
    <cfRule type="expression" priority="1" dxfId="0" stopIfTrue="1">
      <formula>$B$23="SI"</formula>
    </cfRule>
  </conditionalFormatting>
  <conditionalFormatting sqref="J22 K22:Q23">
    <cfRule type="expression" priority="2" dxfId="1" stopIfTrue="1">
      <formula>$R$22=1</formula>
    </cfRule>
    <cfRule type="expression" priority="3" dxfId="2" stopIfTrue="1">
      <formula>$R$22=0</formula>
    </cfRule>
  </conditionalFormatting>
  <conditionalFormatting sqref="K25:K27">
    <cfRule type="expression" priority="4" dxfId="3" stopIfTrue="1">
      <formula>$J$25="si"</formula>
    </cfRule>
  </conditionalFormatting>
  <conditionalFormatting sqref="D23">
    <cfRule type="expression" priority="5" dxfId="4" stopIfTrue="1">
      <formula>$B$23="si"</formula>
    </cfRule>
  </conditionalFormatting>
  <conditionalFormatting sqref="I23">
    <cfRule type="expression" priority="6" dxfId="4" stopIfTrue="1">
      <formula>$B$23="SI"</formula>
    </cfRule>
  </conditionalFormatting>
  <conditionalFormatting sqref="M38 M51 M55">
    <cfRule type="expression" priority="7" dxfId="5" stopIfTrue="1">
      <formula>$B$23="SI"</formula>
    </cfRule>
  </conditionalFormatting>
  <conditionalFormatting sqref="O25">
    <cfRule type="expression" priority="8" dxfId="6" stopIfTrue="1">
      <formula>$J$25&gt;0</formula>
    </cfRule>
    <cfRule type="expression" priority="9" dxfId="2" stopIfTrue="1">
      <formula>$J$25=0</formula>
    </cfRule>
  </conditionalFormatting>
  <conditionalFormatting sqref="H23">
    <cfRule type="expression" priority="10" dxfId="7" stopIfTrue="1">
      <formula>$B$23="si"</formula>
    </cfRule>
  </conditionalFormatting>
  <conditionalFormatting sqref="H24">
    <cfRule type="expression" priority="11" dxfId="8" stopIfTrue="1">
      <formula>$G$24="SI"</formula>
    </cfRule>
  </conditionalFormatting>
  <conditionalFormatting sqref="P24:Q24 P25:P27">
    <cfRule type="expression" priority="12" dxfId="9" stopIfTrue="1">
      <formula>$J$25="SI"</formula>
    </cfRule>
  </conditionalFormatting>
  <conditionalFormatting sqref="Q25:Q27">
    <cfRule type="expression" priority="13" dxfId="10" stopIfTrue="1">
      <formula>$J$25="SI"</formula>
    </cfRule>
  </conditionalFormatting>
  <printOptions/>
  <pageMargins left="0.1968503937007874" right="0" top="0.3937007874015748" bottom="0.1968503937007874" header="0.5118110236220472" footer="0.5118110236220472"/>
  <pageSetup blackAndWhite="1" horizontalDpi="360" verticalDpi="360" orientation="landscape" paperSize="9" r:id="rId4"/>
  <rowBreaks count="1" manualBreakCount="1">
    <brk id="57"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A44"/>
  <sheetViews>
    <sheetView workbookViewId="0" topLeftCell="B1">
      <selection activeCell="G14" sqref="G14:G15"/>
    </sheetView>
  </sheetViews>
  <sheetFormatPr defaultColWidth="9.33203125" defaultRowHeight="12.75"/>
  <cols>
    <col min="1" max="1" width="0" style="0" hidden="1" customWidth="1"/>
    <col min="9" max="9" width="9.83203125" style="0" customWidth="1"/>
    <col min="11" max="11" width="0" style="0" hidden="1" customWidth="1"/>
    <col min="12" max="12" width="11.33203125" style="0" hidden="1" customWidth="1"/>
    <col min="13" max="13" width="0" style="0" hidden="1" customWidth="1"/>
    <col min="16" max="16" width="9.83203125" style="0" customWidth="1"/>
    <col min="17" max="17" width="11.16015625" style="0" bestFit="1" customWidth="1"/>
    <col min="18" max="18" width="9.33203125" style="0" hidden="1" customWidth="1"/>
    <col min="24" max="28" width="0" style="0" hidden="1" customWidth="1"/>
  </cols>
  <sheetData>
    <row r="1" spans="2:26" ht="13.5" thickTop="1">
      <c r="B1" s="294" t="s">
        <v>100</v>
      </c>
      <c r="C1" s="295"/>
      <c r="D1" s="295"/>
      <c r="E1" s="295"/>
      <c r="F1" s="296"/>
      <c r="G1" s="305" t="s">
        <v>26</v>
      </c>
      <c r="H1" s="306"/>
      <c r="I1" s="306"/>
      <c r="J1" s="307"/>
      <c r="K1" s="2"/>
      <c r="L1" s="15"/>
      <c r="M1" s="15"/>
      <c r="N1" s="280" t="s">
        <v>29</v>
      </c>
      <c r="O1" s="281"/>
      <c r="P1" s="281"/>
      <c r="Q1" s="282"/>
      <c r="R1" s="2"/>
      <c r="S1" s="6"/>
      <c r="T1" s="19"/>
      <c r="U1" s="19"/>
      <c r="V1" s="19"/>
      <c r="W1" s="19"/>
      <c r="X1" s="2"/>
      <c r="Y1" s="2"/>
      <c r="Z1" s="2"/>
    </row>
    <row r="2" spans="2:26" ht="12.75">
      <c r="B2" s="297"/>
      <c r="C2" s="298"/>
      <c r="D2" s="298"/>
      <c r="E2" s="298"/>
      <c r="F2" s="299"/>
      <c r="G2" s="308"/>
      <c r="H2" s="309"/>
      <c r="I2" s="309"/>
      <c r="J2" s="310"/>
      <c r="K2" s="2"/>
      <c r="L2" s="15"/>
      <c r="M2" s="15"/>
      <c r="N2" s="283"/>
      <c r="O2" s="284"/>
      <c r="P2" s="284"/>
      <c r="Q2" s="285"/>
      <c r="R2" s="2"/>
      <c r="S2" s="6"/>
      <c r="T2" s="19"/>
      <c r="U2" s="19"/>
      <c r="V2" s="19"/>
      <c r="W2" s="19"/>
      <c r="X2" s="2"/>
      <c r="Y2" s="2"/>
      <c r="Z2" s="2"/>
    </row>
    <row r="3" spans="2:26" ht="13.5" thickBot="1">
      <c r="B3" s="300"/>
      <c r="C3" s="301"/>
      <c r="D3" s="301"/>
      <c r="E3" s="301"/>
      <c r="F3" s="302"/>
      <c r="G3" s="311"/>
      <c r="H3" s="312"/>
      <c r="I3" s="312"/>
      <c r="J3" s="313"/>
      <c r="K3" s="3"/>
      <c r="L3" s="15"/>
      <c r="M3" s="15"/>
      <c r="N3" s="286"/>
      <c r="O3" s="287"/>
      <c r="P3" s="287"/>
      <c r="Q3" s="288"/>
      <c r="R3" s="2"/>
      <c r="S3" s="6"/>
      <c r="T3" s="19"/>
      <c r="U3" s="19"/>
      <c r="V3" s="19"/>
      <c r="W3" s="19"/>
      <c r="X3" s="2"/>
      <c r="Y3" s="2"/>
      <c r="Z3" s="2"/>
    </row>
    <row r="4" spans="2:26" ht="12.75" customHeight="1" thickTop="1">
      <c r="B4" s="303" t="s">
        <v>101</v>
      </c>
      <c r="C4" s="363" t="s">
        <v>19</v>
      </c>
      <c r="D4" s="363"/>
      <c r="E4" s="365" t="s">
        <v>27</v>
      </c>
      <c r="F4" s="360" t="s">
        <v>20</v>
      </c>
      <c r="G4" s="339" t="s">
        <v>19</v>
      </c>
      <c r="H4" s="340"/>
      <c r="I4" s="343" t="s">
        <v>27</v>
      </c>
      <c r="J4" s="345" t="s">
        <v>20</v>
      </c>
      <c r="K4" s="354" t="s">
        <v>4</v>
      </c>
      <c r="L4" s="15"/>
      <c r="M4" s="2"/>
      <c r="N4" s="333" t="s">
        <v>19</v>
      </c>
      <c r="O4" s="334"/>
      <c r="P4" s="335" t="s">
        <v>27</v>
      </c>
      <c r="Q4" s="356" t="s">
        <v>20</v>
      </c>
      <c r="R4" s="354" t="s">
        <v>4</v>
      </c>
      <c r="S4" s="6"/>
      <c r="T4" s="19"/>
      <c r="U4" s="19"/>
      <c r="V4" s="19"/>
      <c r="W4" s="19"/>
      <c r="X4" s="2"/>
      <c r="Y4" s="2"/>
      <c r="Z4" s="2"/>
    </row>
    <row r="5" spans="2:26" ht="12.75">
      <c r="B5" s="304"/>
      <c r="C5" s="364" t="s">
        <v>17</v>
      </c>
      <c r="D5" s="364" t="s">
        <v>18</v>
      </c>
      <c r="E5" s="366"/>
      <c r="F5" s="361"/>
      <c r="G5" s="341" t="s">
        <v>74</v>
      </c>
      <c r="H5" s="342" t="s">
        <v>18</v>
      </c>
      <c r="I5" s="344"/>
      <c r="J5" s="346"/>
      <c r="K5" s="354"/>
      <c r="L5" s="15"/>
      <c r="M5" s="289" t="s">
        <v>102</v>
      </c>
      <c r="N5" s="358" t="s">
        <v>74</v>
      </c>
      <c r="O5" s="359" t="s">
        <v>18</v>
      </c>
      <c r="P5" s="336"/>
      <c r="Q5" s="357"/>
      <c r="R5" s="354"/>
      <c r="S5" s="6"/>
      <c r="T5" s="19"/>
      <c r="U5" s="19"/>
      <c r="V5" s="19"/>
      <c r="W5" s="19"/>
      <c r="X5" s="2"/>
      <c r="Y5" s="2"/>
      <c r="Z5" s="2"/>
    </row>
    <row r="6" spans="2:26" ht="12.75">
      <c r="B6" s="304"/>
      <c r="C6" s="364"/>
      <c r="D6" s="364"/>
      <c r="E6" s="366"/>
      <c r="F6" s="361"/>
      <c r="G6" s="341"/>
      <c r="H6" s="342"/>
      <c r="I6" s="344"/>
      <c r="J6" s="346"/>
      <c r="K6" s="354"/>
      <c r="L6" s="15"/>
      <c r="M6" s="289"/>
      <c r="N6" s="358"/>
      <c r="O6" s="359"/>
      <c r="P6" s="336"/>
      <c r="Q6" s="357"/>
      <c r="R6" s="354"/>
      <c r="S6" s="6"/>
      <c r="T6" s="19"/>
      <c r="U6" s="19"/>
      <c r="V6" s="19"/>
      <c r="W6" s="19"/>
      <c r="X6" s="2"/>
      <c r="Y6" s="2"/>
      <c r="Z6" s="2"/>
    </row>
    <row r="7" spans="2:26" ht="12.75">
      <c r="B7" s="304"/>
      <c r="C7" s="364"/>
      <c r="D7" s="364"/>
      <c r="E7" s="366"/>
      <c r="F7" s="361"/>
      <c r="G7" s="341"/>
      <c r="H7" s="342"/>
      <c r="I7" s="344"/>
      <c r="J7" s="346"/>
      <c r="K7" s="354"/>
      <c r="L7" s="15"/>
      <c r="M7" s="289"/>
      <c r="N7" s="358"/>
      <c r="O7" s="359"/>
      <c r="P7" s="336"/>
      <c r="Q7" s="357"/>
      <c r="R7" s="354"/>
      <c r="S7" s="6"/>
      <c r="T7" s="19"/>
      <c r="U7" s="19"/>
      <c r="V7" s="19"/>
      <c r="W7" s="19"/>
      <c r="X7" s="2"/>
      <c r="Y7" s="2"/>
      <c r="Z7" s="2"/>
    </row>
    <row r="8" spans="1:26" ht="12.75">
      <c r="A8" s="347">
        <v>1</v>
      </c>
      <c r="B8" s="347" t="s">
        <v>12</v>
      </c>
      <c r="C8" s="337">
        <v>22907.67</v>
      </c>
      <c r="D8" s="351">
        <f>ROUND(C8/12,2)</f>
        <v>1908.97</v>
      </c>
      <c r="E8" s="337">
        <v>553.45</v>
      </c>
      <c r="F8" s="338">
        <v>526.65</v>
      </c>
      <c r="G8" s="349">
        <f>IF($M$24&gt;0,'Stipendio tabellare e aliquote '!C8:C9-ROUND('Stipendio tabellare e aliquote '!C8:C9*$M$24%,2),'Stipendio tabellare e aliquote '!C8:C9)</f>
        <v>22907.67</v>
      </c>
      <c r="H8" s="318">
        <f>IF('Inserimento dati'!$J$5="SI",ROUND(G8/'Stipendio tabellare e aliquote '!$M$26*'Stipendio tabellare e aliquote '!$M$27,5),ROUND(G8/12,5))</f>
        <v>1908.9725</v>
      </c>
      <c r="I8" s="318">
        <f>IF($M$24&gt;0,'Stipendio tabellare e aliquote '!E8:E9-ROUND('Stipendio tabellare e aliquote '!E8:E9*$M$24%,2),'Stipendio tabellare e aliquote '!E8:E9)</f>
        <v>553.45</v>
      </c>
      <c r="J8" s="325">
        <f>IF($M$24&gt;0,ROUND((ROUND('Stipendio tabellare e aliquote '!F8:F9*12,5)-ROUND('Stipendio tabellare e aliquote '!F8:F9*12*$M$24%,5))/$M$26*$M$27,5),'Stipendio tabellare e aliquote '!F8:F9)</f>
        <v>526.65</v>
      </c>
      <c r="K8" s="332">
        <f>IF($M$24&gt;0,ROUND('Inserimento dati'!$P$4*M25%,2),'Inserimento dati'!P4)</f>
        <v>0</v>
      </c>
      <c r="L8" s="15"/>
      <c r="M8" s="331">
        <f>ROUND(C8-ROUND(C8*80%*2.5%,2),2)</f>
        <v>22449.52</v>
      </c>
      <c r="N8" s="329">
        <f>IF($M$25&gt;0,'Stipendio tabellare e aliquote '!M8:M9-ROUND('Stipendio tabellare e aliquote '!M8:M9*$M$24%,2),'Stipendio tabellare e aliquote '!M8:M9)</f>
        <v>22449.52</v>
      </c>
      <c r="O8" s="314">
        <f>IF('Inserimento dati'!$J$5="SI",ROUND(N8/'Stipendio tabellare e aliquote '!$M$26*'Stipendio tabellare e aliquote '!$M$27,5),ROUND(N8/12,5))</f>
        <v>1870.79333</v>
      </c>
      <c r="P8" s="314">
        <f>I8-ROUND(I8*80%*2.5%,2)</f>
        <v>542.38</v>
      </c>
      <c r="Q8" s="316">
        <f>J8-ROUND(J8*80%*2.5%,2)</f>
        <v>516.12</v>
      </c>
      <c r="R8" s="355">
        <f>K8-ROUND(K8*80%*2.5%,2)</f>
        <v>0</v>
      </c>
      <c r="S8" s="6"/>
      <c r="T8" s="19"/>
      <c r="U8" s="19"/>
      <c r="V8" s="19"/>
      <c r="W8" s="19"/>
      <c r="X8" s="2"/>
      <c r="Y8" s="2"/>
      <c r="Z8" s="2"/>
    </row>
    <row r="9" spans="1:26" ht="12.75">
      <c r="A9" s="347"/>
      <c r="B9" s="347"/>
      <c r="C9" s="337"/>
      <c r="D9" s="351"/>
      <c r="E9" s="337"/>
      <c r="F9" s="338"/>
      <c r="G9" s="349"/>
      <c r="H9" s="318"/>
      <c r="I9" s="318"/>
      <c r="J9" s="328"/>
      <c r="K9" s="332"/>
      <c r="L9" s="15"/>
      <c r="M9" s="331"/>
      <c r="N9" s="329"/>
      <c r="O9" s="314"/>
      <c r="P9" s="314"/>
      <c r="Q9" s="316"/>
      <c r="R9" s="355"/>
      <c r="S9" s="6"/>
      <c r="T9" s="19"/>
      <c r="U9" s="19"/>
      <c r="V9" s="19"/>
      <c r="W9" s="19"/>
      <c r="X9" s="2"/>
      <c r="Y9" s="2"/>
      <c r="Z9" s="2"/>
    </row>
    <row r="10" spans="1:26" ht="12.75">
      <c r="A10" s="347">
        <v>2</v>
      </c>
      <c r="B10" s="347" t="s">
        <v>13</v>
      </c>
      <c r="C10" s="337">
        <v>20852.7</v>
      </c>
      <c r="D10" s="351">
        <f>ROUND(C10/12,2)</f>
        <v>1737.73</v>
      </c>
      <c r="E10" s="337">
        <v>545.44</v>
      </c>
      <c r="F10" s="338">
        <v>464.18</v>
      </c>
      <c r="G10" s="349">
        <f>IF($M$24&gt;0,'Stipendio tabellare e aliquote '!C10:C11-ROUND('Stipendio tabellare e aliquote '!C10:C11*$M$24%,2),'Stipendio tabellare e aliquote '!C10:C11)</f>
        <v>20852.7</v>
      </c>
      <c r="H10" s="318">
        <f>IF('Inserimento dati'!$J$5="SI",ROUND(G10/'Stipendio tabellare e aliquote '!$M$26*'Stipendio tabellare e aliquote '!$M$27,5),ROUND(G10/12,5))</f>
        <v>1737.725</v>
      </c>
      <c r="I10" s="318">
        <f>IF($M$24&gt;0,'Stipendio tabellare e aliquote '!E10:E11-ROUND('Stipendio tabellare e aliquote '!E10:E11*$M$24%,2),'Stipendio tabellare e aliquote '!E10:E11)</f>
        <v>545.44</v>
      </c>
      <c r="J10" s="325">
        <f>IF($M$24&gt;0,ROUND((ROUND('Stipendio tabellare e aliquote '!F10:F11*12,5)-ROUND('Stipendio tabellare e aliquote '!F10:F11*12*$M$24%,5))/$M$26*$M$27,5),'Stipendio tabellare e aliquote '!F10:F11)</f>
        <v>464.18</v>
      </c>
      <c r="K10" s="332">
        <f>+K8</f>
        <v>0</v>
      </c>
      <c r="L10" s="15"/>
      <c r="M10" s="331">
        <f>ROUND(C10-ROUND(C10*80%*2.5%,2),2)</f>
        <v>20435.65</v>
      </c>
      <c r="N10" s="329">
        <f>IF($M$25&gt;0,'Stipendio tabellare e aliquote '!M10:M11-ROUND('Stipendio tabellare e aliquote '!M10:M11*$M$24%,2),'Stipendio tabellare e aliquote '!M10:M11)</f>
        <v>20435.65</v>
      </c>
      <c r="O10" s="314">
        <f>IF('Inserimento dati'!$J$5="SI",ROUND(N10/'Stipendio tabellare e aliquote '!$M$26*'Stipendio tabellare e aliquote '!$M$27,5),ROUND(N10/12,5))</f>
        <v>1702.97083</v>
      </c>
      <c r="P10" s="314">
        <f>I10-ROUND(I10*80%*2.5%,2)</f>
        <v>534.5300000000001</v>
      </c>
      <c r="Q10" s="316">
        <f>J10-ROUND(J10*80%*2.5%,2)</f>
        <v>454.90000000000003</v>
      </c>
      <c r="R10" s="355">
        <f>R8</f>
        <v>0</v>
      </c>
      <c r="S10" s="6"/>
      <c r="T10" s="19"/>
      <c r="U10" s="19"/>
      <c r="V10" s="19"/>
      <c r="W10" s="19"/>
      <c r="X10" s="2"/>
      <c r="Y10" s="2"/>
      <c r="Z10" s="2"/>
    </row>
    <row r="11" spans="1:26" ht="12.75">
      <c r="A11" s="347"/>
      <c r="B11" s="347"/>
      <c r="C11" s="337"/>
      <c r="D11" s="351"/>
      <c r="E11" s="337"/>
      <c r="F11" s="338"/>
      <c r="G11" s="349"/>
      <c r="H11" s="318"/>
      <c r="I11" s="318"/>
      <c r="J11" s="328"/>
      <c r="K11" s="332"/>
      <c r="L11" s="15"/>
      <c r="M11" s="331"/>
      <c r="N11" s="329"/>
      <c r="O11" s="314"/>
      <c r="P11" s="314"/>
      <c r="Q11" s="316"/>
      <c r="R11" s="355"/>
      <c r="S11" s="6"/>
      <c r="T11" s="19"/>
      <c r="U11" s="19"/>
      <c r="V11" s="19"/>
      <c r="W11" s="19"/>
      <c r="X11" s="2"/>
      <c r="Y11" s="2"/>
      <c r="Z11" s="2"/>
    </row>
    <row r="12" spans="1:26" ht="12.75">
      <c r="A12" s="347">
        <v>3</v>
      </c>
      <c r="B12" s="347" t="s">
        <v>14</v>
      </c>
      <c r="C12" s="337">
        <v>19730.86</v>
      </c>
      <c r="D12" s="351">
        <f>ROUND(C12/12,2)</f>
        <v>1644.24</v>
      </c>
      <c r="E12" s="337">
        <v>537.15</v>
      </c>
      <c r="F12" s="338">
        <v>432.74</v>
      </c>
      <c r="G12" s="349">
        <f>IF($M$24&gt;0,'Stipendio tabellare e aliquote '!C12:C13-ROUND('Stipendio tabellare e aliquote '!C12:C13*$M$24%,2),'Stipendio tabellare e aliquote '!C12:C13)</f>
        <v>19730.86</v>
      </c>
      <c r="H12" s="318">
        <f>IF('Inserimento dati'!$J$5="SI",ROUND(G12/'Stipendio tabellare e aliquote '!$M$26*'Stipendio tabellare e aliquote '!$M$27,5),ROUND(G12/12,5))</f>
        <v>1644.23833</v>
      </c>
      <c r="I12" s="318">
        <f>IF($M$24&gt;0,'Stipendio tabellare e aliquote '!E12:E13-ROUND('Stipendio tabellare e aliquote '!E12:E13*$M$24%,2),'Stipendio tabellare e aliquote '!E12:E13)</f>
        <v>537.15</v>
      </c>
      <c r="J12" s="325">
        <f>IF($M$24&gt;0,ROUND((ROUND('Stipendio tabellare e aliquote '!F12:F13*12,5)-ROUND('Stipendio tabellare e aliquote '!F12:F13*12*$M$24%,5))/$M$26*$M$27,5),'Stipendio tabellare e aliquote '!F12:F13)</f>
        <v>432.74</v>
      </c>
      <c r="K12" s="332">
        <f>+K8</f>
        <v>0</v>
      </c>
      <c r="L12" s="15"/>
      <c r="M12" s="331">
        <f>ROUND(C12-ROUND(C12*80%*2.5%,2),2)</f>
        <v>19336.24</v>
      </c>
      <c r="N12" s="329">
        <f>IF($M$25&gt;0,'Stipendio tabellare e aliquote '!M12:M13-ROUND('Stipendio tabellare e aliquote '!M12:M13*$M$24%,2),'Stipendio tabellare e aliquote '!M12:M13)</f>
        <v>19336.24</v>
      </c>
      <c r="O12" s="314">
        <f>IF('Inserimento dati'!$J$5="SI",ROUND(N12/'Stipendio tabellare e aliquote '!$M$26*'Stipendio tabellare e aliquote '!$M$27,5),ROUND(N12/12,5))</f>
        <v>1611.35333</v>
      </c>
      <c r="P12" s="314">
        <f>I12-ROUND(I12*80%*2.5%,2)</f>
        <v>526.41</v>
      </c>
      <c r="Q12" s="316">
        <f>J12-ROUND(J12*80%*2.5%,2)</f>
        <v>424.09000000000003</v>
      </c>
      <c r="R12" s="355">
        <f>+R8</f>
        <v>0</v>
      </c>
      <c r="S12" s="6"/>
      <c r="T12" s="19"/>
      <c r="U12" s="19"/>
      <c r="V12" s="19"/>
      <c r="W12" s="19"/>
      <c r="X12" s="2"/>
      <c r="Y12" s="2"/>
      <c r="Z12" s="2"/>
    </row>
    <row r="13" spans="1:26" ht="12.75">
      <c r="A13" s="347"/>
      <c r="B13" s="347"/>
      <c r="C13" s="337"/>
      <c r="D13" s="351"/>
      <c r="E13" s="337"/>
      <c r="F13" s="338"/>
      <c r="G13" s="349"/>
      <c r="H13" s="318"/>
      <c r="I13" s="318"/>
      <c r="J13" s="328"/>
      <c r="K13" s="332"/>
      <c r="L13" s="15"/>
      <c r="M13" s="331"/>
      <c r="N13" s="329"/>
      <c r="O13" s="314"/>
      <c r="P13" s="314"/>
      <c r="Q13" s="316"/>
      <c r="R13" s="355"/>
      <c r="S13" s="6"/>
      <c r="T13" s="19"/>
      <c r="U13" s="19"/>
      <c r="V13" s="19"/>
      <c r="W13" s="19"/>
      <c r="X13" s="2"/>
      <c r="Y13" s="2"/>
      <c r="Z13" s="2"/>
    </row>
    <row r="14" spans="1:26" ht="12.75">
      <c r="A14" s="347">
        <v>4</v>
      </c>
      <c r="B14" s="347" t="s">
        <v>2</v>
      </c>
      <c r="C14" s="337">
        <v>19048.62</v>
      </c>
      <c r="D14" s="351">
        <f>ROUND(C14/12,2)</f>
        <v>1587.39</v>
      </c>
      <c r="E14" s="337">
        <v>537.15</v>
      </c>
      <c r="F14" s="338">
        <f>+F12</f>
        <v>432.74</v>
      </c>
      <c r="G14" s="349">
        <f>IF($M$24&gt;0,'Stipendio tabellare e aliquote '!C14:C15-ROUND('Stipendio tabellare e aliquote '!C14:C15*$M$24%,2),'Stipendio tabellare e aliquote '!C14:C15)</f>
        <v>19048.62</v>
      </c>
      <c r="H14" s="318">
        <f>IF('Inserimento dati'!$J$5="SI",ROUND(G14/'Stipendio tabellare e aliquote '!$M$26*'Stipendio tabellare e aliquote '!$M$27,5),ROUND(G14/12,5))</f>
        <v>1587.385</v>
      </c>
      <c r="I14" s="318">
        <f>IF($M$24&gt;0,'Stipendio tabellare e aliquote '!E14:E15-ROUND('Stipendio tabellare e aliquote '!E14:E15*$M$24%,2),'Stipendio tabellare e aliquote '!E14:E15)</f>
        <v>537.15</v>
      </c>
      <c r="J14" s="325">
        <f>IF($M$24&gt;0,ROUND((ROUND('Stipendio tabellare e aliquote '!F14:F15*12,5)-ROUND('Stipendio tabellare e aliquote '!F14:F15*12*$M$24%,5))/$M$26*$M$27,5),'Stipendio tabellare e aliquote '!F14:F15)</f>
        <v>432.74</v>
      </c>
      <c r="K14" s="332">
        <f>+K8</f>
        <v>0</v>
      </c>
      <c r="L14" s="15"/>
      <c r="M14" s="331">
        <f>ROUND(C14-ROUND(C14*80%*2.5%,2),2)</f>
        <v>18667.65</v>
      </c>
      <c r="N14" s="329">
        <f>IF($M$25&gt;0,'Stipendio tabellare e aliquote '!M14:M15-ROUND('Stipendio tabellare e aliquote '!M14:M15*$M$24%,2),'Stipendio tabellare e aliquote '!M14:M15)</f>
        <v>18667.65</v>
      </c>
      <c r="O14" s="314">
        <f>IF('Inserimento dati'!$J$5="SI",ROUND(N14/'Stipendio tabellare e aliquote '!$M$26*'Stipendio tabellare e aliquote '!$M$27,5),ROUND(N14/12,5))</f>
        <v>1555.6375</v>
      </c>
      <c r="P14" s="314">
        <f>I14-ROUND(I14*80%*2.5%,2)</f>
        <v>526.41</v>
      </c>
      <c r="Q14" s="316">
        <f>J14-ROUND(J14*80%*2.5%,2)</f>
        <v>424.09000000000003</v>
      </c>
      <c r="R14" s="355">
        <f>+R8</f>
        <v>0</v>
      </c>
      <c r="S14" s="6"/>
      <c r="T14" s="19"/>
      <c r="U14" s="19"/>
      <c r="V14" s="19"/>
      <c r="W14" s="19"/>
      <c r="X14" s="2"/>
      <c r="Y14" s="2"/>
      <c r="Z14" s="2"/>
    </row>
    <row r="15" spans="1:26" ht="12.75">
      <c r="A15" s="347"/>
      <c r="B15" s="347"/>
      <c r="C15" s="337"/>
      <c r="D15" s="351"/>
      <c r="E15" s="337"/>
      <c r="F15" s="338"/>
      <c r="G15" s="349"/>
      <c r="H15" s="318"/>
      <c r="I15" s="318"/>
      <c r="J15" s="328"/>
      <c r="K15" s="332"/>
      <c r="L15" s="15"/>
      <c r="M15" s="331"/>
      <c r="N15" s="329"/>
      <c r="O15" s="314"/>
      <c r="P15" s="314"/>
      <c r="Q15" s="316"/>
      <c r="R15" s="355"/>
      <c r="S15" s="6"/>
      <c r="T15" s="19"/>
      <c r="U15" s="19"/>
      <c r="V15" s="19"/>
      <c r="W15" s="19"/>
      <c r="X15" s="2"/>
      <c r="Y15" s="2"/>
      <c r="Z15" s="2"/>
    </row>
    <row r="16" spans="1:26" ht="12.75">
      <c r="A16" s="347">
        <v>5</v>
      </c>
      <c r="B16" s="347" t="s">
        <v>15</v>
      </c>
      <c r="C16" s="337">
        <v>18499.16</v>
      </c>
      <c r="D16" s="351">
        <f>ROUND(C16/12,2)</f>
        <v>1541.6</v>
      </c>
      <c r="E16" s="337">
        <v>530.92</v>
      </c>
      <c r="F16" s="338">
        <v>371.51</v>
      </c>
      <c r="G16" s="349">
        <f>IF($M$24&gt;0,'Stipendio tabellare e aliquote '!C16:C17-ROUND('Stipendio tabellare e aliquote '!C16:C17*$M$24%,2),'Stipendio tabellare e aliquote '!C16:C17)</f>
        <v>18499.16</v>
      </c>
      <c r="H16" s="318">
        <f>IF('Inserimento dati'!$J$5="SI",ROUND(G16/'Stipendio tabellare e aliquote '!$M$26*'Stipendio tabellare e aliquote '!$M$27,5),ROUND(G16/12,5))</f>
        <v>1541.59667</v>
      </c>
      <c r="I16" s="318">
        <f>IF($M$24&gt;0,'Stipendio tabellare e aliquote '!E16:E17-ROUND('Stipendio tabellare e aliquote '!E16:E17*$M$24%,2),'Stipendio tabellare e aliquote '!E16:E17)</f>
        <v>530.92</v>
      </c>
      <c r="J16" s="325">
        <f>IF($M$24&gt;0,ROUND((ROUND('Stipendio tabellare e aliquote '!F16:F17*12,5)-ROUND('Stipendio tabellare e aliquote '!F16:F17*12*$M$24%,5))/$M$26*$M$27,5),'Stipendio tabellare e aliquote '!F16:F17)</f>
        <v>371.51</v>
      </c>
      <c r="K16" s="332">
        <f>+K8</f>
        <v>0</v>
      </c>
      <c r="L16" s="15"/>
      <c r="M16" s="331">
        <f>ROUND(C16-ROUND(C16*80%*2.5%,2),2)</f>
        <v>18129.18</v>
      </c>
      <c r="N16" s="329">
        <f>IF($M$25&gt;0,'Stipendio tabellare e aliquote '!M16:M17-ROUND('Stipendio tabellare e aliquote '!M16:M17*$M$24%,2),'Stipendio tabellare e aliquote '!M16:M17)</f>
        <v>18129.18</v>
      </c>
      <c r="O16" s="314">
        <f>IF('Inserimento dati'!$J$5="SI",ROUND(N16/'Stipendio tabellare e aliquote '!$M$26*'Stipendio tabellare e aliquote '!$M$27,5),ROUND(N16/12,5))</f>
        <v>1510.765</v>
      </c>
      <c r="P16" s="314">
        <f>I16-ROUND(I16*80%*2.5%,2)</f>
        <v>520.3</v>
      </c>
      <c r="Q16" s="316">
        <f>J16-ROUND(J16*80%*2.5%,2)</f>
        <v>364.08</v>
      </c>
      <c r="R16" s="355">
        <f>+R8</f>
        <v>0</v>
      </c>
      <c r="S16" s="6"/>
      <c r="T16" s="19"/>
      <c r="U16" s="19"/>
      <c r="V16" s="19"/>
      <c r="W16" s="19"/>
      <c r="X16" s="2"/>
      <c r="Y16" s="2"/>
      <c r="Z16" s="2"/>
    </row>
    <row r="17" spans="1:26" ht="12.75">
      <c r="A17" s="347"/>
      <c r="B17" s="347"/>
      <c r="C17" s="337"/>
      <c r="D17" s="351"/>
      <c r="E17" s="337"/>
      <c r="F17" s="338"/>
      <c r="G17" s="349"/>
      <c r="H17" s="318"/>
      <c r="I17" s="318"/>
      <c r="J17" s="328"/>
      <c r="K17" s="332"/>
      <c r="L17" s="15"/>
      <c r="M17" s="331"/>
      <c r="N17" s="329"/>
      <c r="O17" s="314"/>
      <c r="P17" s="314"/>
      <c r="Q17" s="316"/>
      <c r="R17" s="355"/>
      <c r="S17" s="6"/>
      <c r="T17" s="19"/>
      <c r="U17" s="19"/>
      <c r="V17" s="19"/>
      <c r="W17" s="19"/>
      <c r="X17" s="2"/>
      <c r="Y17" s="2"/>
      <c r="Z17" s="2"/>
    </row>
    <row r="18" spans="1:26" ht="12.75">
      <c r="A18" s="347">
        <v>6</v>
      </c>
      <c r="B18" s="347" t="s">
        <v>16</v>
      </c>
      <c r="C18" s="337">
        <v>17438.87</v>
      </c>
      <c r="D18" s="351">
        <f>ROUND(C18/12,2)</f>
        <v>1453.24</v>
      </c>
      <c r="E18" s="337">
        <v>530.92</v>
      </c>
      <c r="F18" s="338">
        <f>+F16</f>
        <v>371.51</v>
      </c>
      <c r="G18" s="349">
        <f>IF($M$24&gt;0,'Stipendio tabellare e aliquote '!C18:C19-ROUND('Stipendio tabellare e aliquote '!C18:C19*$M$24%,2),'Stipendio tabellare e aliquote '!C18:C19)</f>
        <v>17438.87</v>
      </c>
      <c r="H18" s="318">
        <f>IF('Inserimento dati'!$J$5="SI",ROUND(G18/'Stipendio tabellare e aliquote '!$M$26*'Stipendio tabellare e aliquote '!$M$27,5),ROUND(G18/12,5))</f>
        <v>1453.23917</v>
      </c>
      <c r="I18" s="318">
        <f>IF($M$24&gt;0,'Stipendio tabellare e aliquote '!E18:E19-ROUND('Stipendio tabellare e aliquote '!E18:E19*$M$24%,2),'Stipendio tabellare e aliquote '!E18:E19)</f>
        <v>530.92</v>
      </c>
      <c r="J18" s="325">
        <f>IF($M$24&gt;0,ROUND((ROUND('Stipendio tabellare e aliquote '!F18:F19*12,5)-ROUND('Stipendio tabellare e aliquote '!F18:F19*12*$M$24%,5))/$M$26*$M$27,5),'Stipendio tabellare e aliquote '!F18:F19)</f>
        <v>371.51</v>
      </c>
      <c r="K18" s="332">
        <f>+K8</f>
        <v>0</v>
      </c>
      <c r="L18" s="15"/>
      <c r="M18" s="331">
        <f>ROUND(C18-ROUND(C18*80%*2.5%,2),2)</f>
        <v>17090.09</v>
      </c>
      <c r="N18" s="329">
        <f>IF($M$25&gt;0,'Stipendio tabellare e aliquote '!M18:M19-ROUND('Stipendio tabellare e aliquote '!M18:M19*$M$24%,2),'Stipendio tabellare e aliquote '!M18:M19)</f>
        <v>17090.09</v>
      </c>
      <c r="O18" s="314">
        <f>IF('Inserimento dati'!$J$5="SI",ROUND(N18/'Stipendio tabellare e aliquote '!$M$26*'Stipendio tabellare e aliquote '!$M$27,5),ROUND(N18/12,5))</f>
        <v>1424.17417</v>
      </c>
      <c r="P18" s="314">
        <f>I18-ROUND(I18*80%*2.5%,2)</f>
        <v>520.3</v>
      </c>
      <c r="Q18" s="316">
        <f>J18-ROUND(J18*80%*2.5%,2)</f>
        <v>364.08</v>
      </c>
      <c r="R18" s="355">
        <f>+R8</f>
        <v>0</v>
      </c>
      <c r="S18" s="6"/>
      <c r="T18" s="19"/>
      <c r="U18" s="19"/>
      <c r="V18" s="19"/>
      <c r="W18" s="19"/>
      <c r="X18" s="2"/>
      <c r="Y18" s="2"/>
      <c r="Z18" s="2"/>
    </row>
    <row r="19" spans="1:26" ht="13.5" thickBot="1">
      <c r="A19" s="347"/>
      <c r="B19" s="348"/>
      <c r="C19" s="352"/>
      <c r="D19" s="353"/>
      <c r="E19" s="352"/>
      <c r="F19" s="362"/>
      <c r="G19" s="350"/>
      <c r="H19" s="327"/>
      <c r="I19" s="327"/>
      <c r="J19" s="326"/>
      <c r="K19" s="332"/>
      <c r="L19" s="15"/>
      <c r="M19" s="331"/>
      <c r="N19" s="330"/>
      <c r="O19" s="315"/>
      <c r="P19" s="315"/>
      <c r="Q19" s="317"/>
      <c r="R19" s="355"/>
      <c r="S19" s="6"/>
      <c r="T19" s="19"/>
      <c r="U19" s="19"/>
      <c r="V19" s="19"/>
      <c r="W19" s="19"/>
      <c r="X19" s="2"/>
      <c r="Y19" s="2"/>
      <c r="Z19" s="2"/>
    </row>
    <row r="20" spans="2:26" ht="13.5" thickTop="1">
      <c r="B20" s="6"/>
      <c r="C20" s="6"/>
      <c r="D20" s="6"/>
      <c r="E20" s="6"/>
      <c r="F20" s="6"/>
      <c r="G20" s="6"/>
      <c r="H20" s="6"/>
      <c r="I20" s="6"/>
      <c r="J20" s="6"/>
      <c r="K20" s="16" t="s">
        <v>79</v>
      </c>
      <c r="L20" s="1"/>
      <c r="M20" s="6"/>
      <c r="N20" s="6"/>
      <c r="O20" s="6"/>
      <c r="P20" s="6"/>
      <c r="Q20" s="6"/>
      <c r="R20" s="4" t="s">
        <v>79</v>
      </c>
      <c r="S20" s="6"/>
      <c r="T20" s="19"/>
      <c r="U20" s="19"/>
      <c r="V20" s="19"/>
      <c r="W20" s="19"/>
      <c r="X20" s="2"/>
      <c r="Y20" s="2"/>
      <c r="Z20" s="2"/>
    </row>
    <row r="21" spans="2:26" ht="15.75">
      <c r="B21" s="367" t="s">
        <v>148</v>
      </c>
      <c r="C21" s="367"/>
      <c r="D21" s="367"/>
      <c r="E21" s="367"/>
      <c r="F21" s="367"/>
      <c r="G21" s="367"/>
      <c r="H21" s="367"/>
      <c r="I21" s="367"/>
      <c r="J21" s="367"/>
      <c r="K21" s="6"/>
      <c r="L21" s="1"/>
      <c r="M21" s="6"/>
      <c r="N21" s="6"/>
      <c r="O21" s="6"/>
      <c r="P21" s="6"/>
      <c r="Q21" s="6"/>
      <c r="R21" s="2"/>
      <c r="S21" s="6"/>
      <c r="T21" s="19"/>
      <c r="U21" s="19"/>
      <c r="V21" s="19"/>
      <c r="W21" s="19"/>
      <c r="X21" s="2"/>
      <c r="Y21" s="2"/>
      <c r="Z21" s="2"/>
    </row>
    <row r="22" spans="2:26" ht="6" customHeight="1" thickBot="1">
      <c r="B22" s="94"/>
      <c r="C22" s="94"/>
      <c r="D22" s="94"/>
      <c r="E22" s="94"/>
      <c r="F22" s="94"/>
      <c r="G22" s="94"/>
      <c r="H22" s="94"/>
      <c r="I22" s="94"/>
      <c r="J22" s="94"/>
      <c r="K22" s="6"/>
      <c r="L22" s="1"/>
      <c r="M22" s="6"/>
      <c r="N22" s="6"/>
      <c r="O22" s="6"/>
      <c r="P22" s="6"/>
      <c r="Q22" s="6"/>
      <c r="R22" s="2"/>
      <c r="S22" s="6"/>
      <c r="T22" s="19"/>
      <c r="U22" s="19"/>
      <c r="V22" s="19"/>
      <c r="W22" s="19"/>
      <c r="X22" s="2"/>
      <c r="Y22" s="2"/>
      <c r="Z22" s="2"/>
    </row>
    <row r="23" spans="2:26" ht="12.75" customHeight="1" thickTop="1">
      <c r="B23" s="6"/>
      <c r="C23" s="294" t="s">
        <v>23</v>
      </c>
      <c r="D23" s="295"/>
      <c r="E23" s="295"/>
      <c r="F23" s="296"/>
      <c r="G23" s="6"/>
      <c r="H23" s="290" t="s">
        <v>75</v>
      </c>
      <c r="I23" s="291"/>
      <c r="J23" s="6"/>
      <c r="K23" s="369" t="s">
        <v>76</v>
      </c>
      <c r="L23" s="369"/>
      <c r="M23" s="369"/>
      <c r="N23" s="6"/>
      <c r="O23" s="6"/>
      <c r="P23" s="6"/>
      <c r="Q23" s="6"/>
      <c r="R23" s="6"/>
      <c r="S23" s="6"/>
      <c r="T23" s="19"/>
      <c r="U23" s="19"/>
      <c r="V23" s="19"/>
      <c r="W23" s="19"/>
      <c r="X23" s="2"/>
      <c r="Y23" s="2"/>
      <c r="Z23" s="2"/>
    </row>
    <row r="24" spans="2:26" ht="12.75" customHeight="1">
      <c r="B24" s="6"/>
      <c r="C24" s="297"/>
      <c r="D24" s="298"/>
      <c r="E24" s="298"/>
      <c r="F24" s="299"/>
      <c r="G24" s="6"/>
      <c r="H24" s="292"/>
      <c r="I24" s="293"/>
      <c r="J24" s="6"/>
      <c r="K24" s="369" t="s">
        <v>77</v>
      </c>
      <c r="L24" s="369"/>
      <c r="M24" s="18">
        <f>IF('Inserimento dati'!J5="si",'Inserimento dati'!K6,0)</f>
        <v>0</v>
      </c>
      <c r="N24" s="6"/>
      <c r="O24" s="6"/>
      <c r="P24" s="6"/>
      <c r="Q24" s="6"/>
      <c r="R24" s="6"/>
      <c r="S24" s="6"/>
      <c r="T24" s="19"/>
      <c r="U24" s="19"/>
      <c r="V24" s="19"/>
      <c r="W24" s="19"/>
      <c r="X24" s="2"/>
      <c r="Y24" s="2"/>
      <c r="Z24" s="2"/>
    </row>
    <row r="25" spans="2:26" ht="12.75">
      <c r="B25" s="6"/>
      <c r="C25" s="323" t="s">
        <v>24</v>
      </c>
      <c r="D25" s="324"/>
      <c r="E25" s="364" t="s">
        <v>22</v>
      </c>
      <c r="F25" s="361" t="s">
        <v>28</v>
      </c>
      <c r="G25" s="6"/>
      <c r="H25" s="292"/>
      <c r="I25" s="293"/>
      <c r="J25" s="6"/>
      <c r="K25" s="369" t="s">
        <v>78</v>
      </c>
      <c r="L25" s="369"/>
      <c r="M25" s="18">
        <f>IF(M24&gt;0,100-M24,0)</f>
        <v>0</v>
      </c>
      <c r="N25" s="6"/>
      <c r="O25" s="6"/>
      <c r="P25" s="6"/>
      <c r="Q25" s="6"/>
      <c r="R25" s="6"/>
      <c r="S25" s="6"/>
      <c r="T25" s="19"/>
      <c r="U25" s="19"/>
      <c r="V25" s="19"/>
      <c r="W25" s="19"/>
      <c r="X25" s="2"/>
      <c r="Y25" s="2"/>
      <c r="Z25" s="2"/>
    </row>
    <row r="26" spans="2:26" ht="12.75">
      <c r="B26" s="6"/>
      <c r="C26" s="323"/>
      <c r="D26" s="324"/>
      <c r="E26" s="364"/>
      <c r="F26" s="361"/>
      <c r="G26" s="6"/>
      <c r="H26" s="370">
        <v>40083</v>
      </c>
      <c r="I26" s="371"/>
      <c r="J26" s="6"/>
      <c r="K26" s="368" t="s">
        <v>107</v>
      </c>
      <c r="L26" s="368"/>
      <c r="M26" s="42">
        <f>+'Inserimento dati'!O5</f>
        <v>0</v>
      </c>
      <c r="N26" s="6"/>
      <c r="O26" s="6"/>
      <c r="P26" s="6"/>
      <c r="Q26" s="6"/>
      <c r="R26" s="6"/>
      <c r="S26" s="6"/>
      <c r="T26" s="19"/>
      <c r="U26" s="19"/>
      <c r="V26" s="19"/>
      <c r="W26" s="19"/>
      <c r="X26" s="2" t="s">
        <v>165</v>
      </c>
      <c r="Y26" s="2"/>
      <c r="Z26" s="2" t="s">
        <v>171</v>
      </c>
    </row>
    <row r="27" spans="2:27" ht="13.5" thickBot="1">
      <c r="B27" s="6"/>
      <c r="C27" s="323"/>
      <c r="D27" s="324"/>
      <c r="E27" s="364"/>
      <c r="F27" s="361"/>
      <c r="G27" s="6"/>
      <c r="H27" s="372"/>
      <c r="I27" s="373"/>
      <c r="J27" s="6"/>
      <c r="K27" s="368" t="s">
        <v>108</v>
      </c>
      <c r="L27" s="368"/>
      <c r="M27" s="42">
        <f>+'Inserimento dati'!O6</f>
        <v>0</v>
      </c>
      <c r="N27" s="6"/>
      <c r="O27" s="6"/>
      <c r="P27" s="6"/>
      <c r="Q27" s="6"/>
      <c r="R27" s="6"/>
      <c r="S27" s="6"/>
      <c r="T27" s="19"/>
      <c r="U27" s="19"/>
      <c r="V27" s="19"/>
      <c r="W27" s="19"/>
      <c r="X27" s="2">
        <v>2003</v>
      </c>
      <c r="Y27" s="107" t="s">
        <v>166</v>
      </c>
      <c r="Z27" s="2">
        <v>1</v>
      </c>
      <c r="AA27" s="107" t="s">
        <v>92</v>
      </c>
    </row>
    <row r="28" spans="2:27" ht="13.5" thickTop="1">
      <c r="B28" s="6"/>
      <c r="C28" s="319" t="s">
        <v>21</v>
      </c>
      <c r="D28" s="320"/>
      <c r="E28" s="78">
        <v>8.85</v>
      </c>
      <c r="F28" s="79">
        <v>23.8</v>
      </c>
      <c r="G28" s="6"/>
      <c r="H28" s="6"/>
      <c r="I28" s="6"/>
      <c r="J28" s="6"/>
      <c r="K28" s="6"/>
      <c r="L28" s="6"/>
      <c r="M28" s="6"/>
      <c r="N28" s="6"/>
      <c r="O28" s="6"/>
      <c r="P28" s="6"/>
      <c r="Q28" s="6"/>
      <c r="R28" s="6"/>
      <c r="S28" s="6"/>
      <c r="T28" s="19"/>
      <c r="U28" s="19"/>
      <c r="V28" s="19"/>
      <c r="W28" s="19"/>
      <c r="X28" s="2">
        <v>2004</v>
      </c>
      <c r="Y28" s="107" t="s">
        <v>167</v>
      </c>
      <c r="Z28" s="2">
        <v>2</v>
      </c>
      <c r="AA28" s="107" t="s">
        <v>172</v>
      </c>
    </row>
    <row r="29" spans="2:27" ht="12.75">
      <c r="B29" s="6"/>
      <c r="C29" s="319" t="s">
        <v>25</v>
      </c>
      <c r="D29" s="320"/>
      <c r="E29" s="78">
        <v>0.35</v>
      </c>
      <c r="F29" s="79">
        <v>0</v>
      </c>
      <c r="G29" s="6"/>
      <c r="H29" s="1"/>
      <c r="I29" s="1"/>
      <c r="J29" s="6"/>
      <c r="K29" s="6"/>
      <c r="L29" s="6"/>
      <c r="M29" s="6"/>
      <c r="N29" s="6"/>
      <c r="O29" s="6"/>
      <c r="P29" s="6"/>
      <c r="Q29" s="6"/>
      <c r="R29" s="6"/>
      <c r="S29" s="6"/>
      <c r="T29" s="19"/>
      <c r="U29" s="19"/>
      <c r="V29" s="19"/>
      <c r="W29" s="19"/>
      <c r="X29" s="2">
        <v>2005</v>
      </c>
      <c r="Y29" s="107" t="s">
        <v>91</v>
      </c>
      <c r="Z29" s="2">
        <v>3</v>
      </c>
      <c r="AA29" s="107" t="s">
        <v>166</v>
      </c>
    </row>
    <row r="30" spans="2:27" ht="12.75">
      <c r="B30" s="6"/>
      <c r="C30" s="319" t="s">
        <v>30</v>
      </c>
      <c r="D30" s="320"/>
      <c r="E30" s="78">
        <v>2.5</v>
      </c>
      <c r="F30" s="79">
        <v>7.1</v>
      </c>
      <c r="G30" s="6"/>
      <c r="H30" s="1"/>
      <c r="I30" s="1"/>
      <c r="J30" s="6"/>
      <c r="K30" s="6"/>
      <c r="L30" s="6"/>
      <c r="M30" s="6"/>
      <c r="N30" s="6"/>
      <c r="O30" s="6"/>
      <c r="P30" s="6"/>
      <c r="Q30" s="6"/>
      <c r="R30" s="6"/>
      <c r="S30" s="6"/>
      <c r="T30" s="19"/>
      <c r="U30" s="19"/>
      <c r="V30" s="19"/>
      <c r="W30" s="19"/>
      <c r="X30" s="2">
        <v>2006</v>
      </c>
      <c r="Y30" s="107" t="s">
        <v>168</v>
      </c>
      <c r="Z30" s="2">
        <v>4</v>
      </c>
      <c r="AA30" s="107" t="s">
        <v>167</v>
      </c>
    </row>
    <row r="31" spans="2:27" ht="13.5" thickBot="1">
      <c r="B31" s="6"/>
      <c r="C31" s="321" t="s">
        <v>31</v>
      </c>
      <c r="D31" s="322"/>
      <c r="E31" s="80">
        <v>0</v>
      </c>
      <c r="F31" s="81">
        <f>+E30+F30</f>
        <v>9.6</v>
      </c>
      <c r="G31" s="6"/>
      <c r="H31" s="6"/>
      <c r="I31" s="6"/>
      <c r="J31" s="6"/>
      <c r="K31" s="6"/>
      <c r="L31" s="6"/>
      <c r="M31" s="6"/>
      <c r="N31" s="6"/>
      <c r="O31" s="6"/>
      <c r="P31" s="6"/>
      <c r="Q31" s="6"/>
      <c r="R31" s="6"/>
      <c r="S31" s="6"/>
      <c r="T31" s="19"/>
      <c r="U31" s="19"/>
      <c r="V31" s="19"/>
      <c r="W31" s="19"/>
      <c r="X31" s="2">
        <v>2007</v>
      </c>
      <c r="Y31" s="107" t="s">
        <v>169</v>
      </c>
      <c r="Z31" s="2">
        <v>5</v>
      </c>
      <c r="AA31" s="107" t="s">
        <v>91</v>
      </c>
    </row>
    <row r="32" spans="2:27" ht="13.5" thickTop="1">
      <c r="B32" s="6"/>
      <c r="C32" s="17"/>
      <c r="D32" s="17"/>
      <c r="E32" s="17"/>
      <c r="F32" s="17"/>
      <c r="G32" s="6"/>
      <c r="H32" s="6"/>
      <c r="I32" s="6"/>
      <c r="J32" s="6"/>
      <c r="K32" s="6"/>
      <c r="L32" s="6"/>
      <c r="M32" s="6"/>
      <c r="N32" s="6"/>
      <c r="O32" s="6"/>
      <c r="P32" s="6"/>
      <c r="Q32" s="6"/>
      <c r="R32" s="6"/>
      <c r="S32" s="6"/>
      <c r="T32" s="19"/>
      <c r="U32" s="19"/>
      <c r="V32" s="19"/>
      <c r="W32" s="19"/>
      <c r="X32" s="2">
        <v>2008</v>
      </c>
      <c r="Y32" s="107" t="s">
        <v>170</v>
      </c>
      <c r="Z32" s="2">
        <v>6</v>
      </c>
      <c r="AA32" s="107" t="s">
        <v>168</v>
      </c>
    </row>
    <row r="33" spans="4:27" ht="12.75" hidden="1">
      <c r="D33" s="2"/>
      <c r="E33" s="2"/>
      <c r="F33" s="2"/>
      <c r="Z33" s="2">
        <v>7</v>
      </c>
      <c r="AA33" s="107" t="s">
        <v>169</v>
      </c>
    </row>
    <row r="34" spans="2:27" ht="12.75" hidden="1">
      <c r="B34" t="s">
        <v>159</v>
      </c>
      <c r="D34" s="2"/>
      <c r="E34" s="2"/>
      <c r="F34" s="105">
        <f>+'Inserimento dati'!D40</f>
        <v>39083</v>
      </c>
      <c r="G34" s="106">
        <f>+'Inserimento dati'!D40</f>
        <v>39083</v>
      </c>
      <c r="H34" s="106">
        <f>+'Inserimento dati'!E40</f>
        <v>39447</v>
      </c>
      <c r="Z34" s="2">
        <v>8</v>
      </c>
      <c r="AA34" s="107" t="s">
        <v>170</v>
      </c>
    </row>
    <row r="35" spans="2:27" ht="12.75" hidden="1">
      <c r="B35" t="s">
        <v>160</v>
      </c>
      <c r="C35" t="s">
        <v>162</v>
      </c>
      <c r="D35" s="2">
        <v>31</v>
      </c>
      <c r="E35" s="105" t="str">
        <f>VLOOKUP($O$35,Anno,2)</f>
        <v>07</v>
      </c>
      <c r="F35" s="2" t="str">
        <f>VLOOKUP($O$36,Mese,2)</f>
        <v>01</v>
      </c>
      <c r="G35" t="str">
        <f>VLOOKUP($O$37,Mese,2)</f>
        <v>12</v>
      </c>
      <c r="O35" s="6">
        <f>YEAR(F34)</f>
        <v>2007</v>
      </c>
      <c r="Z35" s="2">
        <v>9</v>
      </c>
      <c r="AA35" s="107" t="s">
        <v>173</v>
      </c>
    </row>
    <row r="36" spans="2:27" ht="12.75" hidden="1">
      <c r="B36" t="s">
        <v>153</v>
      </c>
      <c r="C36" t="s">
        <v>163</v>
      </c>
      <c r="D36" s="2">
        <v>31</v>
      </c>
      <c r="E36" s="105" t="str">
        <f>VLOOKUP($O$35,Anno,2)</f>
        <v>07</v>
      </c>
      <c r="F36" s="2" t="str">
        <f>VLOOKUP($O$36,Mese,2)</f>
        <v>01</v>
      </c>
      <c r="G36" t="str">
        <f>VLOOKUP($O$37,Mese,2)</f>
        <v>12</v>
      </c>
      <c r="O36" s="6">
        <f>MONTH(G34)</f>
        <v>1</v>
      </c>
      <c r="Z36" s="2">
        <v>10</v>
      </c>
      <c r="AA36" s="107" t="s">
        <v>174</v>
      </c>
    </row>
    <row r="37" spans="2:27" ht="12.75" hidden="1">
      <c r="B37" t="s">
        <v>161</v>
      </c>
      <c r="C37" t="s">
        <v>164</v>
      </c>
      <c r="D37" s="2">
        <v>31</v>
      </c>
      <c r="E37" s="105" t="str">
        <f>VLOOKUP($O$35,Anno,2)</f>
        <v>07</v>
      </c>
      <c r="F37" s="2" t="str">
        <f>VLOOKUP($O$36,Mese,2)</f>
        <v>01</v>
      </c>
      <c r="G37" t="str">
        <f>VLOOKUP($O$37,Mese,2)</f>
        <v>12</v>
      </c>
      <c r="O37" s="6">
        <f>MONTH(H34)</f>
        <v>12</v>
      </c>
      <c r="Z37" s="2">
        <v>11</v>
      </c>
      <c r="AA37" s="107" t="s">
        <v>175</v>
      </c>
    </row>
    <row r="38" spans="4:27" ht="12.75" hidden="1">
      <c r="D38" s="2"/>
      <c r="E38" s="2"/>
      <c r="F38" s="2"/>
      <c r="Z38" s="2">
        <v>12</v>
      </c>
      <c r="AA38" s="107" t="s">
        <v>176</v>
      </c>
    </row>
    <row r="39" spans="2:19" ht="12.75" hidden="1">
      <c r="B39" t="s">
        <v>182</v>
      </c>
      <c r="D39" t="s">
        <v>162</v>
      </c>
      <c r="E39">
        <v>11</v>
      </c>
      <c r="F39" s="105" t="str">
        <f>VLOOKUP($O$35,Anno,2)</f>
        <v>07</v>
      </c>
      <c r="G39" s="2" t="str">
        <f>VLOOKUP($O$36,Mese,2)</f>
        <v>01</v>
      </c>
      <c r="H39" t="str">
        <f>VLOOKUP($O$37,Mese,2)</f>
        <v>12</v>
      </c>
      <c r="I39" t="s">
        <v>185</v>
      </c>
      <c r="O39" t="s">
        <v>162</v>
      </c>
      <c r="P39">
        <v>12</v>
      </c>
      <c r="Q39" s="105" t="str">
        <f>VLOOKUP($O$35,Anno,2)</f>
        <v>07</v>
      </c>
      <c r="R39" s="2" t="str">
        <f>VLOOKUP($O$36,Mese,2)</f>
        <v>01</v>
      </c>
      <c r="S39" t="str">
        <f>VLOOKUP($O$37,Mese,2)</f>
        <v>12</v>
      </c>
    </row>
    <row r="40" spans="2:18" ht="12.75" hidden="1">
      <c r="B40" t="s">
        <v>183</v>
      </c>
      <c r="D40" t="s">
        <v>163</v>
      </c>
      <c r="E40">
        <v>13</v>
      </c>
      <c r="F40" s="105" t="str">
        <f>VLOOKUP($O$35,Anno,2)</f>
        <v>07</v>
      </c>
      <c r="G40" s="2" t="str">
        <f>VLOOKUP($O$36,Mese,2)</f>
        <v>01</v>
      </c>
      <c r="H40" t="str">
        <f>VLOOKUP($O$37,Mese,2)</f>
        <v>12</v>
      </c>
      <c r="Q40" s="105"/>
      <c r="R40" s="2"/>
    </row>
    <row r="41" spans="2:18" ht="12.75" hidden="1">
      <c r="B41" t="s">
        <v>184</v>
      </c>
      <c r="D41" t="s">
        <v>163</v>
      </c>
      <c r="E41">
        <v>28</v>
      </c>
      <c r="F41" s="105" t="str">
        <f>VLOOKUP($O$35,Anno,2)</f>
        <v>07</v>
      </c>
      <c r="G41" s="2" t="str">
        <f>VLOOKUP($O$36,Mese,2)</f>
        <v>01</v>
      </c>
      <c r="H41" t="str">
        <f>VLOOKUP($O$37,Mese,2)</f>
        <v>12</v>
      </c>
      <c r="Q41" s="105"/>
      <c r="R41" s="2"/>
    </row>
    <row r="42" spans="5:18" ht="12.75" hidden="1">
      <c r="E42" s="2"/>
      <c r="F42" s="105"/>
      <c r="G42" s="2"/>
      <c r="Q42" s="105"/>
      <c r="R42" s="2"/>
    </row>
    <row r="43" spans="2:19" ht="12.75" hidden="1">
      <c r="B43" t="s">
        <v>186</v>
      </c>
      <c r="D43" t="s">
        <v>162</v>
      </c>
      <c r="E43" s="2">
        <v>25</v>
      </c>
      <c r="F43" s="105" t="str">
        <f>VLOOKUP($O$35,Anno,2)</f>
        <v>07</v>
      </c>
      <c r="G43" s="2" t="str">
        <f>VLOOKUP($O$36,Mese,2)</f>
        <v>01</v>
      </c>
      <c r="H43" t="str">
        <f>VLOOKUP($O$37,Mese,2)</f>
        <v>12</v>
      </c>
      <c r="I43" t="s">
        <v>188</v>
      </c>
      <c r="O43" t="s">
        <v>164</v>
      </c>
      <c r="P43">
        <v>25</v>
      </c>
      <c r="Q43" s="105" t="str">
        <f>VLOOKUP($O$35,Anno,2)</f>
        <v>07</v>
      </c>
      <c r="R43" s="2" t="str">
        <f>VLOOKUP($O$36,Mese,2)</f>
        <v>01</v>
      </c>
      <c r="S43" t="str">
        <f>VLOOKUP($O$37,Mese,2)</f>
        <v>12</v>
      </c>
    </row>
    <row r="44" spans="2:8" ht="12.75" hidden="1">
      <c r="B44" t="s">
        <v>187</v>
      </c>
      <c r="D44" t="s">
        <v>163</v>
      </c>
      <c r="E44">
        <v>25</v>
      </c>
      <c r="F44" s="105" t="str">
        <f>VLOOKUP($O$35,Anno,2)</f>
        <v>07</v>
      </c>
      <c r="G44" s="2" t="str">
        <f>VLOOKUP($O$36,Mese,2)</f>
        <v>01</v>
      </c>
      <c r="H44" t="str">
        <f>VLOOKUP($O$37,Mese,2)</f>
        <v>12</v>
      </c>
    </row>
    <row r="45" ht="12.75" hidden="1"/>
    <row r="46" ht="12.75" hidden="1"/>
    <row r="47" ht="12.75" hidden="1"/>
    <row r="48" ht="12.75" hidden="1"/>
    <row r="49" ht="12.75" hidden="1"/>
  </sheetData>
  <sheetProtection password="9E19" sheet="1" objects="1" scenarios="1" formatCells="0" formatColumns="0" formatRows="0"/>
  <mergeCells count="140">
    <mergeCell ref="K18:K19"/>
    <mergeCell ref="R10:R11"/>
    <mergeCell ref="R12:R13"/>
    <mergeCell ref="R14:R15"/>
    <mergeCell ref="R16:R17"/>
    <mergeCell ref="R18:R19"/>
    <mergeCell ref="M18:M19"/>
    <mergeCell ref="O18:O19"/>
    <mergeCell ref="N16:N17"/>
    <mergeCell ref="P16:P17"/>
    <mergeCell ref="A16:A17"/>
    <mergeCell ref="A18:A19"/>
    <mergeCell ref="A8:A9"/>
    <mergeCell ref="A10:A11"/>
    <mergeCell ref="A12:A13"/>
    <mergeCell ref="A14:A15"/>
    <mergeCell ref="B21:J21"/>
    <mergeCell ref="K26:L26"/>
    <mergeCell ref="K27:L27"/>
    <mergeCell ref="K23:M23"/>
    <mergeCell ref="K24:L24"/>
    <mergeCell ref="K25:L25"/>
    <mergeCell ref="E25:E27"/>
    <mergeCell ref="F25:F27"/>
    <mergeCell ref="C23:F24"/>
    <mergeCell ref="H26:I27"/>
    <mergeCell ref="C4:D4"/>
    <mergeCell ref="C5:C7"/>
    <mergeCell ref="D5:D7"/>
    <mergeCell ref="E4:E7"/>
    <mergeCell ref="F4:F7"/>
    <mergeCell ref="H8:H9"/>
    <mergeCell ref="E18:E19"/>
    <mergeCell ref="F18:F19"/>
    <mergeCell ref="H12:H13"/>
    <mergeCell ref="H14:H15"/>
    <mergeCell ref="G12:G13"/>
    <mergeCell ref="G14:G15"/>
    <mergeCell ref="H18:H19"/>
    <mergeCell ref="E8:E9"/>
    <mergeCell ref="R4:R7"/>
    <mergeCell ref="K4:K7"/>
    <mergeCell ref="R8:R9"/>
    <mergeCell ref="Q4:Q7"/>
    <mergeCell ref="N5:N7"/>
    <mergeCell ref="O5:O7"/>
    <mergeCell ref="P8:P9"/>
    <mergeCell ref="Q8:Q9"/>
    <mergeCell ref="K8:K9"/>
    <mergeCell ref="N8:N9"/>
    <mergeCell ref="N10:N11"/>
    <mergeCell ref="F14:F15"/>
    <mergeCell ref="N14:N15"/>
    <mergeCell ref="I10:I11"/>
    <mergeCell ref="I12:I13"/>
    <mergeCell ref="N12:N13"/>
    <mergeCell ref="J12:J13"/>
    <mergeCell ref="J14:J15"/>
    <mergeCell ref="I14:I15"/>
    <mergeCell ref="H10:H11"/>
    <mergeCell ref="G8:G9"/>
    <mergeCell ref="G10:G11"/>
    <mergeCell ref="C8:C9"/>
    <mergeCell ref="C12:C13"/>
    <mergeCell ref="F8:F9"/>
    <mergeCell ref="E12:E13"/>
    <mergeCell ref="D8:D9"/>
    <mergeCell ref="D10:D11"/>
    <mergeCell ref="D12:D13"/>
    <mergeCell ref="F12:F13"/>
    <mergeCell ref="B8:B9"/>
    <mergeCell ref="B10:B11"/>
    <mergeCell ref="B12:B13"/>
    <mergeCell ref="C10:C11"/>
    <mergeCell ref="B14:B15"/>
    <mergeCell ref="O14:O15"/>
    <mergeCell ref="B16:B17"/>
    <mergeCell ref="M12:M13"/>
    <mergeCell ref="C14:C15"/>
    <mergeCell ref="E14:E15"/>
    <mergeCell ref="D14:D15"/>
    <mergeCell ref="B18:B19"/>
    <mergeCell ref="G16:G17"/>
    <mergeCell ref="G18:G19"/>
    <mergeCell ref="C16:C17"/>
    <mergeCell ref="E16:E17"/>
    <mergeCell ref="F16:F17"/>
    <mergeCell ref="D16:D17"/>
    <mergeCell ref="C18:C19"/>
    <mergeCell ref="D18:D19"/>
    <mergeCell ref="N4:O4"/>
    <mergeCell ref="P4:P7"/>
    <mergeCell ref="E10:E11"/>
    <mergeCell ref="F10:F11"/>
    <mergeCell ref="G4:H4"/>
    <mergeCell ref="O10:O11"/>
    <mergeCell ref="G5:G7"/>
    <mergeCell ref="H5:H7"/>
    <mergeCell ref="I4:I7"/>
    <mergeCell ref="J4:J7"/>
    <mergeCell ref="J8:J9"/>
    <mergeCell ref="J10:J11"/>
    <mergeCell ref="M14:M15"/>
    <mergeCell ref="M16:M17"/>
    <mergeCell ref="K10:K11"/>
    <mergeCell ref="K12:K13"/>
    <mergeCell ref="K14:K15"/>
    <mergeCell ref="K16:K17"/>
    <mergeCell ref="M8:M9"/>
    <mergeCell ref="M10:M11"/>
    <mergeCell ref="N18:N19"/>
    <mergeCell ref="P14:P15"/>
    <mergeCell ref="Q14:Q15"/>
    <mergeCell ref="O16:O17"/>
    <mergeCell ref="J18:J19"/>
    <mergeCell ref="H16:H17"/>
    <mergeCell ref="I18:I19"/>
    <mergeCell ref="I16:I17"/>
    <mergeCell ref="J16:J17"/>
    <mergeCell ref="O8:O9"/>
    <mergeCell ref="P10:P11"/>
    <mergeCell ref="Q10:Q11"/>
    <mergeCell ref="P12:P13"/>
    <mergeCell ref="Q12:Q13"/>
    <mergeCell ref="O12:O13"/>
    <mergeCell ref="C30:D30"/>
    <mergeCell ref="C31:D31"/>
    <mergeCell ref="C25:D27"/>
    <mergeCell ref="C28:D28"/>
    <mergeCell ref="C29:D29"/>
    <mergeCell ref="N1:Q3"/>
    <mergeCell ref="M5:M7"/>
    <mergeCell ref="H23:I25"/>
    <mergeCell ref="B1:F3"/>
    <mergeCell ref="B4:B7"/>
    <mergeCell ref="G1:J3"/>
    <mergeCell ref="P18:P19"/>
    <mergeCell ref="Q18:Q19"/>
    <mergeCell ref="I8:I9"/>
    <mergeCell ref="Q16:Q17"/>
  </mergeCells>
  <printOptions/>
  <pageMargins left="0.75" right="0.75" top="1" bottom="1" header="0.5" footer="0.5"/>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A5" sqref="A5:E5"/>
    </sheetView>
  </sheetViews>
  <sheetFormatPr defaultColWidth="9.33203125" defaultRowHeight="12.75"/>
  <sheetData>
    <row r="1" spans="1:20" ht="15" thickBot="1" thickTop="1">
      <c r="A1" s="394" t="s">
        <v>110</v>
      </c>
      <c r="B1" s="395"/>
      <c r="C1" s="395"/>
      <c r="D1" s="395"/>
      <c r="E1" s="396"/>
      <c r="F1" s="44"/>
      <c r="G1" s="44"/>
      <c r="H1" s="44"/>
      <c r="I1" s="44"/>
      <c r="J1" s="44"/>
      <c r="K1" s="44"/>
      <c r="L1" s="44"/>
      <c r="M1" s="44"/>
      <c r="N1" s="44"/>
      <c r="O1" s="44"/>
      <c r="P1" s="44"/>
      <c r="Q1" s="44"/>
      <c r="R1" s="45"/>
      <c r="S1" s="45"/>
      <c r="T1" s="45"/>
    </row>
    <row r="2" spans="1:20" ht="13.5" customHeight="1" thickTop="1">
      <c r="A2" s="397"/>
      <c r="B2" s="398"/>
      <c r="C2" s="398"/>
      <c r="D2" s="398"/>
      <c r="E2" s="399"/>
      <c r="F2" s="44"/>
      <c r="G2" s="388" t="s">
        <v>121</v>
      </c>
      <c r="H2" s="389"/>
      <c r="I2" s="389"/>
      <c r="J2" s="389"/>
      <c r="K2" s="389"/>
      <c r="L2" s="389"/>
      <c r="M2" s="389"/>
      <c r="N2" s="389"/>
      <c r="O2" s="389"/>
      <c r="P2" s="390"/>
      <c r="Q2" s="44"/>
      <c r="R2" s="45"/>
      <c r="S2" s="45"/>
      <c r="T2" s="45"/>
    </row>
    <row r="3" spans="1:20" ht="14.25" thickBot="1">
      <c r="A3" s="385" t="s">
        <v>111</v>
      </c>
      <c r="B3" s="386"/>
      <c r="C3" s="386"/>
      <c r="D3" s="386"/>
      <c r="E3" s="387"/>
      <c r="F3" s="44"/>
      <c r="G3" s="391"/>
      <c r="H3" s="392"/>
      <c r="I3" s="392"/>
      <c r="J3" s="392"/>
      <c r="K3" s="392"/>
      <c r="L3" s="392"/>
      <c r="M3" s="392"/>
      <c r="N3" s="392"/>
      <c r="O3" s="392"/>
      <c r="P3" s="393"/>
      <c r="Q3" s="44"/>
      <c r="R3" s="45"/>
      <c r="S3" s="45"/>
      <c r="T3" s="45"/>
    </row>
    <row r="4" spans="1:20" ht="13.5" thickTop="1">
      <c r="A4" s="397"/>
      <c r="B4" s="398"/>
      <c r="C4" s="398"/>
      <c r="D4" s="398"/>
      <c r="E4" s="399"/>
      <c r="F4" s="44"/>
      <c r="G4" s="44"/>
      <c r="H4" s="44"/>
      <c r="I4" s="44"/>
      <c r="J4" s="44"/>
      <c r="K4" s="44"/>
      <c r="L4" s="44"/>
      <c r="M4" s="44"/>
      <c r="N4" s="44"/>
      <c r="O4" s="44"/>
      <c r="P4" s="44"/>
      <c r="Q4" s="44"/>
      <c r="R4" s="45"/>
      <c r="S4" s="45"/>
      <c r="T4" s="45"/>
    </row>
    <row r="5" spans="1:20" ht="13.5">
      <c r="A5" s="385" t="s">
        <v>206</v>
      </c>
      <c r="B5" s="386"/>
      <c r="C5" s="386"/>
      <c r="D5" s="386"/>
      <c r="E5" s="387"/>
      <c r="F5" s="44"/>
      <c r="G5" s="44"/>
      <c r="H5" s="44"/>
      <c r="I5" s="44"/>
      <c r="J5" s="44"/>
      <c r="K5" s="44"/>
      <c r="L5" s="44"/>
      <c r="M5" s="44"/>
      <c r="N5" s="44"/>
      <c r="O5" s="44"/>
      <c r="P5" s="44"/>
      <c r="Q5" s="44"/>
      <c r="R5" s="45"/>
      <c r="S5" s="45"/>
      <c r="T5" s="45"/>
    </row>
    <row r="6" spans="1:20" ht="12.75">
      <c r="A6" s="43"/>
      <c r="B6" s="43"/>
      <c r="C6" s="43"/>
      <c r="D6" s="43"/>
      <c r="E6" s="43"/>
      <c r="F6" s="44"/>
      <c r="G6" s="44"/>
      <c r="H6" s="44"/>
      <c r="I6" s="44"/>
      <c r="J6" s="44"/>
      <c r="K6" s="44"/>
      <c r="L6" s="44"/>
      <c r="M6" s="44"/>
      <c r="N6" s="44"/>
      <c r="O6" s="44"/>
      <c r="P6" s="44"/>
      <c r="Q6" s="44"/>
      <c r="R6" s="45"/>
      <c r="S6" s="45"/>
      <c r="T6" s="45"/>
    </row>
    <row r="7" spans="1:20" ht="12.75">
      <c r="A7" s="378" t="s">
        <v>124</v>
      </c>
      <c r="B7" s="378"/>
      <c r="C7" s="378"/>
      <c r="D7" s="378"/>
      <c r="E7" s="378"/>
      <c r="F7" s="378"/>
      <c r="G7" s="378"/>
      <c r="H7" s="378"/>
      <c r="I7" s="378"/>
      <c r="J7" s="378"/>
      <c r="K7" s="378"/>
      <c r="L7" s="378"/>
      <c r="M7" s="378"/>
      <c r="N7" s="378"/>
      <c r="O7" s="378"/>
      <c r="P7" s="378"/>
      <c r="Q7" s="378"/>
      <c r="R7" s="45"/>
      <c r="S7" s="45"/>
      <c r="T7" s="45"/>
    </row>
    <row r="8" spans="1:20" ht="12.75">
      <c r="A8" s="378" t="s">
        <v>117</v>
      </c>
      <c r="B8" s="378"/>
      <c r="C8" s="378"/>
      <c r="D8" s="378"/>
      <c r="E8" s="378"/>
      <c r="F8" s="378"/>
      <c r="G8" s="378"/>
      <c r="H8" s="378"/>
      <c r="I8" s="378"/>
      <c r="J8" s="378"/>
      <c r="K8" s="378"/>
      <c r="L8" s="378"/>
      <c r="M8" s="378"/>
      <c r="N8" s="378"/>
      <c r="O8" s="378"/>
      <c r="P8" s="378"/>
      <c r="Q8" s="378"/>
      <c r="R8" s="45"/>
      <c r="S8" s="45"/>
      <c r="T8" s="45"/>
    </row>
    <row r="9" spans="1:20" ht="12.75">
      <c r="A9" s="378" t="s">
        <v>118</v>
      </c>
      <c r="B9" s="378"/>
      <c r="C9" s="378"/>
      <c r="D9" s="378"/>
      <c r="E9" s="378"/>
      <c r="F9" s="378"/>
      <c r="G9" s="378"/>
      <c r="H9" s="378"/>
      <c r="I9" s="378"/>
      <c r="J9" s="378"/>
      <c r="K9" s="378"/>
      <c r="L9" s="378"/>
      <c r="M9" s="378"/>
      <c r="N9" s="378"/>
      <c r="O9" s="378"/>
      <c r="P9" s="378"/>
      <c r="Q9" s="378"/>
      <c r="R9" s="45"/>
      <c r="S9" s="45"/>
      <c r="T9" s="45"/>
    </row>
    <row r="10" spans="1:20" ht="12.75">
      <c r="A10" s="380" t="s">
        <v>119</v>
      </c>
      <c r="B10" s="380"/>
      <c r="C10" s="380"/>
      <c r="D10" s="380"/>
      <c r="E10" s="380"/>
      <c r="F10" s="380"/>
      <c r="G10" s="380"/>
      <c r="H10" s="380"/>
      <c r="I10" s="380"/>
      <c r="J10" s="380"/>
      <c r="K10" s="380"/>
      <c r="L10" s="380"/>
      <c r="M10" s="380"/>
      <c r="N10" s="380"/>
      <c r="O10" s="380"/>
      <c r="P10" s="380"/>
      <c r="Q10" s="380"/>
      <c r="R10" s="45"/>
      <c r="S10" s="45"/>
      <c r="T10" s="45"/>
    </row>
    <row r="11" spans="1:20" ht="12.75">
      <c r="A11" s="380" t="s">
        <v>125</v>
      </c>
      <c r="B11" s="380"/>
      <c r="C11" s="380"/>
      <c r="D11" s="380"/>
      <c r="E11" s="380"/>
      <c r="F11" s="380"/>
      <c r="G11" s="380"/>
      <c r="H11" s="380"/>
      <c r="I11" s="380"/>
      <c r="J11" s="380"/>
      <c r="K11" s="380"/>
      <c r="L11" s="380"/>
      <c r="M11" s="380"/>
      <c r="N11" s="380"/>
      <c r="O11" s="380"/>
      <c r="P11" s="380"/>
      <c r="Q11" s="380"/>
      <c r="R11" s="45"/>
      <c r="S11" s="45"/>
      <c r="T11" s="45"/>
    </row>
    <row r="12" spans="1:20" ht="12.75">
      <c r="A12" s="378" t="s">
        <v>116</v>
      </c>
      <c r="B12" s="378"/>
      <c r="C12" s="378"/>
      <c r="D12" s="378"/>
      <c r="E12" s="378"/>
      <c r="F12" s="378"/>
      <c r="G12" s="378"/>
      <c r="H12" s="378"/>
      <c r="I12" s="378"/>
      <c r="J12" s="378"/>
      <c r="K12" s="378"/>
      <c r="L12" s="378"/>
      <c r="M12" s="378"/>
      <c r="N12" s="378"/>
      <c r="O12" s="378"/>
      <c r="P12" s="378"/>
      <c r="Q12" s="378"/>
      <c r="R12" s="45"/>
      <c r="S12" s="45"/>
      <c r="T12" s="45"/>
    </row>
    <row r="13" spans="1:20" ht="12.75">
      <c r="A13" s="378" t="s">
        <v>120</v>
      </c>
      <c r="B13" s="378"/>
      <c r="C13" s="378"/>
      <c r="D13" s="378"/>
      <c r="E13" s="378"/>
      <c r="F13" s="378"/>
      <c r="G13" s="378"/>
      <c r="H13" s="378"/>
      <c r="I13" s="378"/>
      <c r="J13" s="378"/>
      <c r="K13" s="378"/>
      <c r="L13" s="378"/>
      <c r="M13" s="378"/>
      <c r="N13" s="378"/>
      <c r="O13" s="378"/>
      <c r="P13" s="378"/>
      <c r="Q13" s="378"/>
      <c r="R13" s="45"/>
      <c r="S13" s="45"/>
      <c r="T13" s="45"/>
    </row>
    <row r="14" spans="1:20" ht="12.75">
      <c r="A14" s="381" t="s">
        <v>122</v>
      </c>
      <c r="B14" s="381"/>
      <c r="C14" s="381"/>
      <c r="D14" s="381"/>
      <c r="E14" s="381"/>
      <c r="F14" s="381"/>
      <c r="G14" s="381"/>
      <c r="H14" s="381"/>
      <c r="I14" s="381"/>
      <c r="J14" s="381"/>
      <c r="K14" s="381"/>
      <c r="L14" s="381"/>
      <c r="M14" s="381"/>
      <c r="N14" s="381"/>
      <c r="O14" s="381"/>
      <c r="P14" s="381"/>
      <c r="Q14" s="381"/>
      <c r="R14" s="45"/>
      <c r="S14" s="45"/>
      <c r="T14" s="45"/>
    </row>
    <row r="15" spans="1:20" ht="12.75">
      <c r="A15" s="381" t="s">
        <v>152</v>
      </c>
      <c r="B15" s="381"/>
      <c r="C15" s="381"/>
      <c r="D15" s="381"/>
      <c r="E15" s="381"/>
      <c r="F15" s="381"/>
      <c r="G15" s="381"/>
      <c r="H15" s="381"/>
      <c r="I15" s="381"/>
      <c r="J15" s="381"/>
      <c r="K15" s="381"/>
      <c r="L15" s="381"/>
      <c r="M15" s="381"/>
      <c r="N15" s="381"/>
      <c r="O15" s="381"/>
      <c r="P15" s="381"/>
      <c r="Q15" s="381"/>
      <c r="R15" s="45"/>
      <c r="S15" s="45"/>
      <c r="T15" s="45"/>
    </row>
    <row r="16" spans="1:20" ht="12.75">
      <c r="A16" s="383" t="s">
        <v>143</v>
      </c>
      <c r="B16" s="383"/>
      <c r="C16" s="383"/>
      <c r="D16" s="383"/>
      <c r="E16" s="383"/>
      <c r="F16" s="383"/>
      <c r="G16" s="383"/>
      <c r="H16" s="383"/>
      <c r="I16" s="383"/>
      <c r="J16" s="383"/>
      <c r="K16" s="383"/>
      <c r="L16" s="383"/>
      <c r="M16" s="383"/>
      <c r="N16" s="383"/>
      <c r="O16" s="383"/>
      <c r="P16" s="383"/>
      <c r="Q16" s="383"/>
      <c r="R16" s="45"/>
      <c r="S16" s="45"/>
      <c r="T16" s="45"/>
    </row>
    <row r="17" spans="1:20" ht="12.75">
      <c r="A17" s="383"/>
      <c r="B17" s="383"/>
      <c r="C17" s="383"/>
      <c r="D17" s="383"/>
      <c r="E17" s="383"/>
      <c r="F17" s="383"/>
      <c r="G17" s="383"/>
      <c r="H17" s="383"/>
      <c r="I17" s="383"/>
      <c r="J17" s="383"/>
      <c r="K17" s="383"/>
      <c r="L17" s="383"/>
      <c r="M17" s="383"/>
      <c r="N17" s="383"/>
      <c r="O17" s="383"/>
      <c r="P17" s="383"/>
      <c r="Q17" s="383"/>
      <c r="R17" s="45"/>
      <c r="S17" s="45"/>
      <c r="T17" s="45"/>
    </row>
    <row r="18" spans="1:20" ht="12.75">
      <c r="A18" s="384" t="s">
        <v>144</v>
      </c>
      <c r="B18" s="384"/>
      <c r="C18" s="384"/>
      <c r="D18" s="384"/>
      <c r="E18" s="384"/>
      <c r="F18" s="384"/>
      <c r="G18" s="384"/>
      <c r="H18" s="384"/>
      <c r="I18" s="384"/>
      <c r="J18" s="384"/>
      <c r="K18" s="384"/>
      <c r="L18" s="384"/>
      <c r="M18" s="384"/>
      <c r="N18" s="384"/>
      <c r="O18" s="384"/>
      <c r="P18" s="384"/>
      <c r="Q18" s="384"/>
      <c r="R18" s="45"/>
      <c r="S18" s="45"/>
      <c r="T18" s="45"/>
    </row>
    <row r="19" spans="1:20" ht="12.75" customHeight="1">
      <c r="A19" s="384"/>
      <c r="B19" s="384"/>
      <c r="C19" s="384"/>
      <c r="D19" s="384"/>
      <c r="E19" s="384"/>
      <c r="F19" s="384"/>
      <c r="G19" s="384"/>
      <c r="H19" s="384"/>
      <c r="I19" s="384"/>
      <c r="J19" s="384"/>
      <c r="K19" s="384"/>
      <c r="L19" s="384"/>
      <c r="M19" s="384"/>
      <c r="N19" s="384"/>
      <c r="O19" s="384"/>
      <c r="P19" s="384"/>
      <c r="Q19" s="384"/>
      <c r="R19" s="45"/>
      <c r="S19" s="45"/>
      <c r="T19" s="45"/>
    </row>
    <row r="20" spans="1:20" ht="12.75">
      <c r="A20" s="380" t="s">
        <v>112</v>
      </c>
      <c r="B20" s="380"/>
      <c r="C20" s="380"/>
      <c r="D20" s="380"/>
      <c r="E20" s="380"/>
      <c r="F20" s="152" t="s">
        <v>113</v>
      </c>
      <c r="G20" s="382"/>
      <c r="H20" s="382"/>
      <c r="I20" s="382"/>
      <c r="J20" s="382"/>
      <c r="K20" s="382"/>
      <c r="L20" s="382"/>
      <c r="M20" s="382"/>
      <c r="N20" s="382"/>
      <c r="O20" s="382"/>
      <c r="P20" s="382"/>
      <c r="Q20" s="382"/>
      <c r="R20" s="45"/>
      <c r="S20" s="45"/>
      <c r="T20" s="45"/>
    </row>
    <row r="21" spans="1:20" ht="12.75">
      <c r="A21" s="378" t="s">
        <v>114</v>
      </c>
      <c r="B21" s="378"/>
      <c r="C21" s="378"/>
      <c r="D21" s="378"/>
      <c r="E21" s="76" t="s">
        <v>123</v>
      </c>
      <c r="F21" s="378" t="s">
        <v>115</v>
      </c>
      <c r="G21" s="378"/>
      <c r="H21" s="378"/>
      <c r="I21" s="378"/>
      <c r="J21" s="378"/>
      <c r="K21" s="378"/>
      <c r="L21" s="378"/>
      <c r="M21" s="378"/>
      <c r="N21" s="378"/>
      <c r="O21" s="378"/>
      <c r="P21" s="378"/>
      <c r="Q21" s="378"/>
      <c r="R21" s="45"/>
      <c r="S21" s="45"/>
      <c r="T21" s="45"/>
    </row>
    <row r="22" spans="1:20" ht="12.75">
      <c r="A22" s="380" t="s">
        <v>129</v>
      </c>
      <c r="B22" s="380"/>
      <c r="C22" s="380"/>
      <c r="D22" s="380"/>
      <c r="E22" s="380"/>
      <c r="F22" s="380"/>
      <c r="G22" s="380"/>
      <c r="H22" s="380"/>
      <c r="I22" s="380"/>
      <c r="J22" s="380"/>
      <c r="K22" s="380"/>
      <c r="L22" s="380"/>
      <c r="M22" s="380"/>
      <c r="N22" s="380"/>
      <c r="O22" s="380"/>
      <c r="P22" s="380"/>
      <c r="Q22" s="380"/>
      <c r="R22" s="45"/>
      <c r="S22" s="45"/>
      <c r="T22" s="45"/>
    </row>
    <row r="23" spans="1:20" ht="15.75">
      <c r="A23" s="379"/>
      <c r="B23" s="378"/>
      <c r="C23" s="378"/>
      <c r="D23" s="378"/>
      <c r="E23" s="378"/>
      <c r="F23" s="378"/>
      <c r="G23" s="378"/>
      <c r="H23" s="378"/>
      <c r="I23" s="378"/>
      <c r="J23" s="378"/>
      <c r="K23" s="378"/>
      <c r="L23" s="378"/>
      <c r="M23" s="378"/>
      <c r="N23" s="378"/>
      <c r="O23" s="378"/>
      <c r="P23" s="378"/>
      <c r="Q23" s="378"/>
      <c r="R23" s="45"/>
      <c r="S23" s="45"/>
      <c r="T23" s="45"/>
    </row>
    <row r="24" spans="1:20" ht="12.75" customHeight="1">
      <c r="A24" s="376" t="s">
        <v>149</v>
      </c>
      <c r="B24" s="377"/>
      <c r="C24" s="377"/>
      <c r="D24" s="377"/>
      <c r="E24" s="377"/>
      <c r="F24" s="377"/>
      <c r="G24" s="377"/>
      <c r="H24" s="377"/>
      <c r="I24" s="377"/>
      <c r="J24" s="377"/>
      <c r="K24" s="377"/>
      <c r="L24" s="377"/>
      <c r="M24" s="377"/>
      <c r="N24" s="377"/>
      <c r="O24" s="377"/>
      <c r="P24" s="377"/>
      <c r="Q24" s="377"/>
      <c r="R24" s="45"/>
      <c r="S24" s="45"/>
      <c r="T24" s="45"/>
    </row>
    <row r="25" spans="1:20" ht="12.75">
      <c r="A25" s="377"/>
      <c r="B25" s="377"/>
      <c r="C25" s="377"/>
      <c r="D25" s="377"/>
      <c r="E25" s="377"/>
      <c r="F25" s="377"/>
      <c r="G25" s="377"/>
      <c r="H25" s="377"/>
      <c r="I25" s="377"/>
      <c r="J25" s="377"/>
      <c r="K25" s="377"/>
      <c r="L25" s="377"/>
      <c r="M25" s="377"/>
      <c r="N25" s="377"/>
      <c r="O25" s="377"/>
      <c r="P25" s="377"/>
      <c r="Q25" s="377"/>
      <c r="R25" s="45"/>
      <c r="S25" s="45"/>
      <c r="T25" s="45"/>
    </row>
    <row r="26" spans="1:20" ht="12.75">
      <c r="A26" s="377"/>
      <c r="B26" s="377"/>
      <c r="C26" s="377"/>
      <c r="D26" s="377"/>
      <c r="E26" s="377"/>
      <c r="F26" s="377"/>
      <c r="G26" s="377"/>
      <c r="H26" s="377"/>
      <c r="I26" s="377"/>
      <c r="J26" s="377"/>
      <c r="K26" s="377"/>
      <c r="L26" s="377"/>
      <c r="M26" s="377"/>
      <c r="N26" s="377"/>
      <c r="O26" s="377"/>
      <c r="P26" s="377"/>
      <c r="Q26" s="377"/>
      <c r="R26" s="45"/>
      <c r="S26" s="45"/>
      <c r="T26" s="45"/>
    </row>
    <row r="27" spans="1:20" ht="12.75">
      <c r="A27" s="377"/>
      <c r="B27" s="377"/>
      <c r="C27" s="377"/>
      <c r="D27" s="377"/>
      <c r="E27" s="377"/>
      <c r="F27" s="377"/>
      <c r="G27" s="377"/>
      <c r="H27" s="377"/>
      <c r="I27" s="377"/>
      <c r="J27" s="377"/>
      <c r="K27" s="377"/>
      <c r="L27" s="377"/>
      <c r="M27" s="377"/>
      <c r="N27" s="377"/>
      <c r="O27" s="377"/>
      <c r="P27" s="377"/>
      <c r="Q27" s="377"/>
      <c r="R27" s="45"/>
      <c r="S27" s="45"/>
      <c r="T27" s="45"/>
    </row>
    <row r="28" spans="1:20" ht="12.75">
      <c r="A28" s="377"/>
      <c r="B28" s="377"/>
      <c r="C28" s="377"/>
      <c r="D28" s="377"/>
      <c r="E28" s="377"/>
      <c r="F28" s="377"/>
      <c r="G28" s="377"/>
      <c r="H28" s="377"/>
      <c r="I28" s="377"/>
      <c r="J28" s="377"/>
      <c r="K28" s="377"/>
      <c r="L28" s="377"/>
      <c r="M28" s="377"/>
      <c r="N28" s="377"/>
      <c r="O28" s="377"/>
      <c r="P28" s="377"/>
      <c r="Q28" s="377"/>
      <c r="R28" s="45"/>
      <c r="S28" s="45"/>
      <c r="T28" s="45"/>
    </row>
    <row r="29" spans="1:20" ht="12.75">
      <c r="A29" s="45"/>
      <c r="B29" s="45"/>
      <c r="C29" s="45"/>
      <c r="D29" s="45"/>
      <c r="E29" s="45"/>
      <c r="F29" s="45"/>
      <c r="G29" s="45"/>
      <c r="H29" s="45"/>
      <c r="I29" s="45"/>
      <c r="J29" s="45"/>
      <c r="K29" s="45"/>
      <c r="L29" s="45"/>
      <c r="M29" s="45"/>
      <c r="N29" s="45"/>
      <c r="O29" s="45"/>
      <c r="P29" s="45"/>
      <c r="Q29" s="45"/>
      <c r="R29" s="45"/>
      <c r="S29" s="45"/>
      <c r="T29" s="45"/>
    </row>
    <row r="30" spans="1:20" ht="18.75">
      <c r="A30" s="375" t="s">
        <v>205</v>
      </c>
      <c r="B30" s="375"/>
      <c r="C30" s="375"/>
      <c r="D30" s="375"/>
      <c r="E30" s="375"/>
      <c r="F30" s="375"/>
      <c r="G30" s="375"/>
      <c r="H30" s="375"/>
      <c r="I30" s="375"/>
      <c r="J30" s="375"/>
      <c r="K30" s="375"/>
      <c r="L30" s="375"/>
      <c r="M30" s="375"/>
      <c r="N30" s="375"/>
      <c r="O30" s="375"/>
      <c r="P30" s="375"/>
      <c r="Q30" s="375"/>
      <c r="R30" s="45"/>
      <c r="S30" s="45"/>
      <c r="T30" s="45"/>
    </row>
    <row r="31" spans="1:20" ht="12.75">
      <c r="A31" s="374" t="s">
        <v>203</v>
      </c>
      <c r="B31" s="374"/>
      <c r="C31" s="374"/>
      <c r="D31" s="374"/>
      <c r="E31" s="374"/>
      <c r="F31" s="374"/>
      <c r="G31" s="374"/>
      <c r="H31" s="374"/>
      <c r="I31" s="374"/>
      <c r="J31" s="374"/>
      <c r="K31" s="374"/>
      <c r="L31" s="374"/>
      <c r="M31" s="374"/>
      <c r="N31" s="374"/>
      <c r="O31" s="374"/>
      <c r="P31" s="374"/>
      <c r="Q31" s="374"/>
      <c r="R31" s="45"/>
      <c r="S31" s="45"/>
      <c r="T31" s="45"/>
    </row>
    <row r="32" spans="1:20" ht="12.75">
      <c r="A32" s="374"/>
      <c r="B32" s="374"/>
      <c r="C32" s="374"/>
      <c r="D32" s="374"/>
      <c r="E32" s="374"/>
      <c r="F32" s="374"/>
      <c r="G32" s="374"/>
      <c r="H32" s="374"/>
      <c r="I32" s="374"/>
      <c r="J32" s="374"/>
      <c r="K32" s="374"/>
      <c r="L32" s="374"/>
      <c r="M32" s="374"/>
      <c r="N32" s="374"/>
      <c r="O32" s="374"/>
      <c r="P32" s="374"/>
      <c r="Q32" s="374"/>
      <c r="R32" s="45"/>
      <c r="S32" s="45"/>
      <c r="T32" s="45"/>
    </row>
    <row r="33" spans="1:20" ht="12.75">
      <c r="A33" s="374"/>
      <c r="B33" s="374"/>
      <c r="C33" s="374"/>
      <c r="D33" s="374"/>
      <c r="E33" s="374"/>
      <c r="F33" s="374"/>
      <c r="G33" s="374"/>
      <c r="H33" s="374"/>
      <c r="I33" s="374"/>
      <c r="J33" s="374"/>
      <c r="K33" s="374"/>
      <c r="L33" s="374"/>
      <c r="M33" s="374"/>
      <c r="N33" s="374"/>
      <c r="O33" s="374"/>
      <c r="P33" s="374"/>
      <c r="Q33" s="374"/>
      <c r="R33" s="45"/>
      <c r="S33" s="45"/>
      <c r="T33" s="45"/>
    </row>
    <row r="34" spans="1:20" ht="12.75">
      <c r="A34" s="153" t="s">
        <v>204</v>
      </c>
      <c r="B34" s="153"/>
      <c r="C34" s="153"/>
      <c r="D34" s="153"/>
      <c r="E34" s="153"/>
      <c r="F34" s="153"/>
      <c r="G34" s="153"/>
      <c r="H34" s="153"/>
      <c r="I34" s="153"/>
      <c r="J34" s="153"/>
      <c r="K34" s="153"/>
      <c r="L34" s="153"/>
      <c r="M34" s="153"/>
      <c r="N34" s="153"/>
      <c r="O34" s="153"/>
      <c r="P34" s="153"/>
      <c r="Q34" s="153"/>
      <c r="R34" s="45"/>
      <c r="S34" s="45"/>
      <c r="T34" s="45"/>
    </row>
    <row r="35" spans="1:20" ht="12.75">
      <c r="A35" s="154" t="s">
        <v>195</v>
      </c>
      <c r="B35" s="155"/>
      <c r="C35" s="155"/>
      <c r="D35" s="155"/>
      <c r="E35" s="155"/>
      <c r="F35" s="155"/>
      <c r="G35" s="155"/>
      <c r="H35" s="155"/>
      <c r="I35" s="155"/>
      <c r="J35" s="155"/>
      <c r="K35" s="155"/>
      <c r="L35" s="155"/>
      <c r="M35" s="155"/>
      <c r="N35" s="155"/>
      <c r="O35" s="155"/>
      <c r="P35" s="155"/>
      <c r="Q35" s="155"/>
      <c r="R35" s="45"/>
      <c r="S35" s="45"/>
      <c r="T35" s="45"/>
    </row>
    <row r="36" spans="1:20" ht="12.75">
      <c r="A36" s="154" t="s">
        <v>196</v>
      </c>
      <c r="B36" s="155"/>
      <c r="C36" s="155"/>
      <c r="D36" s="155"/>
      <c r="E36" s="155"/>
      <c r="F36" s="155"/>
      <c r="G36" s="155"/>
      <c r="H36" s="155"/>
      <c r="I36" s="155"/>
      <c r="J36" s="155"/>
      <c r="K36" s="155"/>
      <c r="L36" s="155"/>
      <c r="M36" s="155"/>
      <c r="N36" s="155"/>
      <c r="O36" s="155"/>
      <c r="P36" s="155"/>
      <c r="Q36" s="155"/>
      <c r="R36" s="45"/>
      <c r="S36" s="45"/>
      <c r="T36" s="45"/>
    </row>
    <row r="37" spans="1:20" ht="12.75">
      <c r="A37" s="154" t="s">
        <v>197</v>
      </c>
      <c r="B37" s="155"/>
      <c r="C37" s="155"/>
      <c r="D37" s="155"/>
      <c r="E37" s="155"/>
      <c r="F37" s="155"/>
      <c r="G37" s="155"/>
      <c r="H37" s="155"/>
      <c r="I37" s="155"/>
      <c r="J37" s="155"/>
      <c r="K37" s="155"/>
      <c r="L37" s="155"/>
      <c r="M37" s="155"/>
      <c r="N37" s="155"/>
      <c r="O37" s="155"/>
      <c r="P37" s="155"/>
      <c r="Q37" s="155"/>
      <c r="R37" s="45"/>
      <c r="S37" s="45"/>
      <c r="T37" s="45"/>
    </row>
    <row r="38" spans="1:20" ht="12.75">
      <c r="A38" s="154" t="s">
        <v>198</v>
      </c>
      <c r="B38" s="155"/>
      <c r="C38" s="155"/>
      <c r="D38" s="155"/>
      <c r="E38" s="155"/>
      <c r="F38" s="155"/>
      <c r="G38" s="155"/>
      <c r="H38" s="155"/>
      <c r="I38" s="155"/>
      <c r="J38" s="155"/>
      <c r="K38" s="155"/>
      <c r="L38" s="155"/>
      <c r="M38" s="155"/>
      <c r="N38" s="155"/>
      <c r="O38" s="155"/>
      <c r="P38" s="155"/>
      <c r="Q38" s="155"/>
      <c r="R38" s="45"/>
      <c r="S38" s="45"/>
      <c r="T38" s="45"/>
    </row>
    <row r="39" spans="1:20" ht="12.75">
      <c r="A39" s="154" t="s">
        <v>199</v>
      </c>
      <c r="B39" s="155"/>
      <c r="C39" s="155"/>
      <c r="D39" s="155"/>
      <c r="E39" s="155"/>
      <c r="F39" s="155"/>
      <c r="G39" s="155"/>
      <c r="H39" s="155"/>
      <c r="I39" s="155"/>
      <c r="J39" s="155"/>
      <c r="K39" s="155"/>
      <c r="L39" s="155"/>
      <c r="M39" s="155"/>
      <c r="N39" s="155"/>
      <c r="O39" s="155"/>
      <c r="P39" s="155"/>
      <c r="Q39" s="155"/>
      <c r="R39" s="45"/>
      <c r="S39" s="45"/>
      <c r="T39" s="45"/>
    </row>
    <row r="40" spans="1:20" ht="12.75">
      <c r="A40" s="154" t="s">
        <v>200</v>
      </c>
      <c r="B40" s="155"/>
      <c r="C40" s="155"/>
      <c r="D40" s="155"/>
      <c r="E40" s="155"/>
      <c r="F40" s="155"/>
      <c r="G40" s="155"/>
      <c r="H40" s="155"/>
      <c r="I40" s="155"/>
      <c r="J40" s="155"/>
      <c r="K40" s="155"/>
      <c r="L40" s="155"/>
      <c r="M40" s="155"/>
      <c r="N40" s="155"/>
      <c r="O40" s="155"/>
      <c r="P40" s="155"/>
      <c r="Q40" s="155"/>
      <c r="R40" s="45"/>
      <c r="S40" s="45"/>
      <c r="T40" s="45"/>
    </row>
    <row r="41" spans="1:20" ht="12.75">
      <c r="A41" s="154" t="s">
        <v>201</v>
      </c>
      <c r="B41" s="155"/>
      <c r="C41" s="155"/>
      <c r="D41" s="155"/>
      <c r="E41" s="155"/>
      <c r="F41" s="155"/>
      <c r="G41" s="155"/>
      <c r="H41" s="155"/>
      <c r="I41" s="155"/>
      <c r="J41" s="155"/>
      <c r="K41" s="155"/>
      <c r="L41" s="155"/>
      <c r="M41" s="155"/>
      <c r="N41" s="155"/>
      <c r="O41" s="155"/>
      <c r="P41" s="155"/>
      <c r="Q41" s="155"/>
      <c r="R41" s="45"/>
      <c r="S41" s="45"/>
      <c r="T41" s="45"/>
    </row>
    <row r="42" spans="1:20" ht="12.75">
      <c r="A42" s="154" t="s">
        <v>202</v>
      </c>
      <c r="B42" s="155"/>
      <c r="C42" s="155"/>
      <c r="D42" s="155"/>
      <c r="E42" s="155"/>
      <c r="F42" s="155"/>
      <c r="G42" s="155"/>
      <c r="H42" s="155"/>
      <c r="I42" s="155"/>
      <c r="J42" s="155"/>
      <c r="K42" s="155"/>
      <c r="L42" s="155"/>
      <c r="M42" s="155"/>
      <c r="N42" s="155"/>
      <c r="O42" s="155"/>
      <c r="P42" s="155"/>
      <c r="Q42" s="155"/>
      <c r="R42" s="45"/>
      <c r="S42" s="45"/>
      <c r="T42" s="45"/>
    </row>
    <row r="43" spans="1:20" ht="12.75">
      <c r="A43" s="155"/>
      <c r="B43" s="155"/>
      <c r="C43" s="155"/>
      <c r="D43" s="155"/>
      <c r="E43" s="155"/>
      <c r="F43" s="155"/>
      <c r="G43" s="155"/>
      <c r="H43" s="155"/>
      <c r="I43" s="155"/>
      <c r="J43" s="155"/>
      <c r="K43" s="155"/>
      <c r="L43" s="155"/>
      <c r="M43" s="155"/>
      <c r="N43" s="155"/>
      <c r="O43" s="155"/>
      <c r="P43" s="155"/>
      <c r="Q43" s="155"/>
      <c r="R43" s="45"/>
      <c r="S43" s="45"/>
      <c r="T43" s="45"/>
    </row>
    <row r="44" spans="1:20" ht="12.75">
      <c r="A44" s="45"/>
      <c r="B44" s="45"/>
      <c r="C44" s="45"/>
      <c r="D44" s="45"/>
      <c r="E44" s="45"/>
      <c r="F44" s="45"/>
      <c r="G44" s="45"/>
      <c r="H44" s="45"/>
      <c r="I44" s="45"/>
      <c r="J44" s="45"/>
      <c r="K44" s="45"/>
      <c r="L44" s="45"/>
      <c r="M44" s="45"/>
      <c r="N44" s="45"/>
      <c r="O44" s="45"/>
      <c r="P44" s="45"/>
      <c r="Q44" s="45"/>
      <c r="R44" s="45"/>
      <c r="S44" s="45"/>
      <c r="T44" s="45"/>
    </row>
  </sheetData>
  <sheetProtection password="9E19" sheet="1" objects="1" scenarios="1" formatCells="0" formatColumns="0" formatRows="0"/>
  <mergeCells count="26">
    <mergeCell ref="A1:E1"/>
    <mergeCell ref="A2:E2"/>
    <mergeCell ref="A3:E3"/>
    <mergeCell ref="A4:E4"/>
    <mergeCell ref="A5:E5"/>
    <mergeCell ref="G2:P3"/>
    <mergeCell ref="A7:Q7"/>
    <mergeCell ref="A8:Q8"/>
    <mergeCell ref="A13:Q13"/>
    <mergeCell ref="A9:Q9"/>
    <mergeCell ref="A10:Q10"/>
    <mergeCell ref="A11:Q11"/>
    <mergeCell ref="A12:Q12"/>
    <mergeCell ref="A14:Q14"/>
    <mergeCell ref="A15:Q15"/>
    <mergeCell ref="A20:E20"/>
    <mergeCell ref="G20:Q20"/>
    <mergeCell ref="A16:Q17"/>
    <mergeCell ref="A18:Q19"/>
    <mergeCell ref="A31:Q33"/>
    <mergeCell ref="A30:Q30"/>
    <mergeCell ref="A24:Q28"/>
    <mergeCell ref="A21:D21"/>
    <mergeCell ref="F21:Q21"/>
    <mergeCell ref="A23:Q23"/>
    <mergeCell ref="A22:Q22"/>
  </mergeCells>
  <hyperlinks>
    <hyperlink ref="A3" r:id="rId1" display="giuseppe.rizzo03@giustizia.it"/>
    <hyperlink ref="A5" r:id="rId2" display="giu08.ri@gmail.com"/>
  </hyperlinks>
  <printOptions/>
  <pageMargins left="0.75" right="0.75" top="1" bottom="1" header="0.5" footer="0.5"/>
  <pageSetup horizontalDpi="360" verticalDpi="36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Peppe</dc:creator>
  <cp:keywords/>
  <dc:description/>
  <cp:lastModifiedBy>Angelo</cp:lastModifiedBy>
  <cp:lastPrinted>2007-07-23T07:16:14Z</cp:lastPrinted>
  <dcterms:created xsi:type="dcterms:W3CDTF">2005-05-26T16:58:38Z</dcterms:created>
  <dcterms:modified xsi:type="dcterms:W3CDTF">2007-07-30T11:19:14Z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